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1AF11EC1-5745-4998-9511-23C04A2CB3B9}" xr6:coauthVersionLast="47" xr6:coauthVersionMax="47" xr10:uidLastSave="{00000000-0000-0000-0000-000000000000}"/>
  <bookViews>
    <workbookView xWindow="4680" yWindow="4680" windowWidth="29745" windowHeight="16605" xr2:uid="{00000000-000D-0000-FFFF-FFFF00000000}"/>
  </bookViews>
  <sheets>
    <sheet name="業態別口座残高"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8" i="2" l="1"/>
  <c r="G38" i="2"/>
  <c r="F38" i="2"/>
  <c r="E38" i="2"/>
  <c r="D38" i="2"/>
  <c r="H36" i="2"/>
  <c r="G36" i="2"/>
  <c r="F36" i="2"/>
  <c r="E36" i="2"/>
  <c r="D36" i="2"/>
  <c r="H35" i="2"/>
  <c r="G35" i="2"/>
  <c r="F35" i="2"/>
  <c r="E35" i="2"/>
  <c r="D35" i="2"/>
  <c r="H34" i="2"/>
  <c r="G34" i="2"/>
  <c r="F34" i="2"/>
  <c r="E34" i="2"/>
  <c r="D34" i="2"/>
  <c r="H33" i="2"/>
  <c r="G33" i="2"/>
  <c r="F33" i="2"/>
  <c r="E33" i="2"/>
  <c r="D33" i="2"/>
  <c r="H32" i="2"/>
  <c r="G32" i="2"/>
  <c r="F32" i="2"/>
  <c r="E32" i="2"/>
  <c r="D32" i="2"/>
  <c r="H31" i="2"/>
  <c r="G31" i="2"/>
  <c r="F31" i="2"/>
  <c r="E31" i="2"/>
  <c r="D31" i="2"/>
  <c r="H30" i="2"/>
  <c r="G30" i="2"/>
  <c r="F30" i="2"/>
  <c r="E30" i="2"/>
  <c r="D30" i="2"/>
  <c r="H29" i="2"/>
  <c r="G29" i="2"/>
  <c r="F29" i="2"/>
  <c r="E29" i="2"/>
  <c r="D29" i="2"/>
  <c r="H28" i="2"/>
  <c r="G28" i="2"/>
  <c r="F28" i="2"/>
  <c r="E28" i="2"/>
  <c r="D28" i="2"/>
  <c r="H27" i="2"/>
  <c r="G27" i="2"/>
  <c r="F27" i="2"/>
  <c r="E27" i="2"/>
  <c r="D27" i="2"/>
  <c r="H26" i="2"/>
  <c r="G26" i="2"/>
  <c r="F26" i="2"/>
  <c r="E26" i="2"/>
  <c r="D26" i="2"/>
  <c r="H25" i="2"/>
  <c r="G25" i="2"/>
  <c r="F25" i="2"/>
  <c r="E25" i="2"/>
  <c r="D25" i="2"/>
  <c r="H24" i="2"/>
  <c r="G24" i="2"/>
  <c r="F24" i="2"/>
  <c r="E24" i="2"/>
  <c r="D24" i="2"/>
  <c r="H23" i="2"/>
  <c r="G23" i="2"/>
  <c r="F23" i="2"/>
  <c r="E23" i="2"/>
  <c r="D23" i="2"/>
  <c r="H22" i="2"/>
  <c r="G22" i="2"/>
  <c r="F22" i="2"/>
  <c r="E22" i="2"/>
  <c r="D22" i="2"/>
  <c r="H21" i="2"/>
  <c r="G21" i="2"/>
  <c r="F21" i="2"/>
  <c r="E21" i="2"/>
  <c r="D21" i="2"/>
  <c r="H20" i="2"/>
  <c r="G20" i="2"/>
  <c r="F20" i="2"/>
  <c r="E20" i="2"/>
  <c r="D20" i="2"/>
  <c r="H19" i="2"/>
  <c r="G19" i="2"/>
  <c r="F19" i="2"/>
  <c r="E19" i="2"/>
  <c r="D19" i="2"/>
  <c r="H18" i="2"/>
  <c r="G18" i="2"/>
  <c r="F18" i="2"/>
  <c r="E18" i="2"/>
  <c r="D18" i="2"/>
  <c r="H17" i="2"/>
  <c r="G17" i="2"/>
  <c r="F17" i="2"/>
  <c r="E17" i="2"/>
  <c r="D17" i="2"/>
  <c r="H16" i="2"/>
  <c r="G16" i="2"/>
  <c r="F16" i="2"/>
  <c r="E16" i="2"/>
  <c r="D16" i="2"/>
  <c r="H15" i="2"/>
  <c r="G15" i="2"/>
  <c r="F15" i="2"/>
  <c r="E15" i="2"/>
  <c r="D15" i="2"/>
  <c r="H14" i="2"/>
  <c r="G14" i="2"/>
  <c r="F14" i="2"/>
  <c r="E14" i="2"/>
  <c r="D14" i="2"/>
  <c r="H13" i="2"/>
  <c r="G13" i="2"/>
  <c r="F13" i="2"/>
  <c r="E13" i="2"/>
  <c r="D13" i="2"/>
  <c r="H12" i="2"/>
  <c r="G12" i="2"/>
  <c r="F12" i="2"/>
  <c r="E12" i="2"/>
  <c r="D12" i="2"/>
  <c r="H11" i="2"/>
  <c r="G11" i="2"/>
  <c r="F11" i="2"/>
  <c r="E11" i="2"/>
  <c r="D11" i="2"/>
  <c r="H10" i="2"/>
  <c r="G10" i="2"/>
  <c r="F10" i="2"/>
  <c r="E10" i="2"/>
  <c r="D10" i="2"/>
  <c r="H9" i="2"/>
  <c r="G9" i="2"/>
  <c r="F9" i="2"/>
  <c r="E9" i="2"/>
  <c r="D9" i="2"/>
  <c r="H8" i="2"/>
  <c r="G8" i="2"/>
  <c r="F8" i="2"/>
  <c r="E8" i="2"/>
  <c r="D8" i="2"/>
  <c r="H81" i="2"/>
  <c r="G81" i="2"/>
  <c r="F81" i="2"/>
  <c r="E81" i="2"/>
  <c r="D81" i="2"/>
  <c r="H79" i="2"/>
  <c r="G79" i="2"/>
  <c r="F79" i="2"/>
  <c r="E79" i="2"/>
  <c r="D79" i="2"/>
  <c r="H78" i="2"/>
  <c r="G78" i="2"/>
  <c r="F78" i="2"/>
  <c r="E78" i="2"/>
  <c r="D78" i="2"/>
  <c r="H77" i="2"/>
  <c r="G77" i="2"/>
  <c r="F77" i="2"/>
  <c r="E77" i="2"/>
  <c r="D77" i="2"/>
  <c r="H76" i="2"/>
  <c r="G76" i="2"/>
  <c r="F76" i="2"/>
  <c r="E76" i="2"/>
  <c r="D76" i="2"/>
  <c r="H75" i="2"/>
  <c r="G75" i="2"/>
  <c r="F75" i="2"/>
  <c r="E75" i="2"/>
  <c r="D75" i="2"/>
  <c r="H74" i="2"/>
  <c r="G74" i="2"/>
  <c r="F74" i="2"/>
  <c r="E74" i="2"/>
  <c r="D74" i="2"/>
  <c r="H73" i="2"/>
  <c r="G73" i="2"/>
  <c r="F73" i="2"/>
  <c r="E73" i="2"/>
  <c r="D73" i="2"/>
  <c r="H72" i="2"/>
  <c r="G72" i="2"/>
  <c r="F72" i="2"/>
  <c r="E72" i="2"/>
  <c r="D72" i="2"/>
  <c r="H71" i="2"/>
  <c r="G71" i="2"/>
  <c r="F71" i="2"/>
  <c r="E71" i="2"/>
  <c r="D71" i="2"/>
  <c r="H70" i="2"/>
  <c r="G70" i="2"/>
  <c r="F70" i="2"/>
  <c r="E70" i="2"/>
  <c r="D70" i="2"/>
  <c r="H69" i="2"/>
  <c r="G69" i="2"/>
  <c r="F69" i="2"/>
  <c r="E69" i="2"/>
  <c r="D69" i="2"/>
  <c r="H68" i="2"/>
  <c r="G68" i="2"/>
  <c r="F68" i="2"/>
  <c r="E68" i="2"/>
  <c r="D68" i="2"/>
  <c r="H67" i="2"/>
  <c r="G67" i="2"/>
  <c r="F67" i="2"/>
  <c r="E67" i="2"/>
  <c r="D67" i="2"/>
  <c r="H66" i="2"/>
  <c r="G66" i="2"/>
  <c r="F66" i="2"/>
  <c r="E66" i="2"/>
  <c r="D66" i="2"/>
  <c r="H65" i="2"/>
  <c r="G65" i="2"/>
  <c r="F65" i="2"/>
  <c r="E65" i="2"/>
  <c r="D65" i="2"/>
  <c r="H64" i="2"/>
  <c r="G64" i="2"/>
  <c r="F64" i="2"/>
  <c r="E64" i="2"/>
  <c r="D64" i="2"/>
  <c r="H63" i="2"/>
  <c r="G63" i="2"/>
  <c r="F63" i="2"/>
  <c r="E63" i="2"/>
  <c r="D63" i="2"/>
  <c r="H62" i="2"/>
  <c r="G62" i="2"/>
  <c r="F62" i="2"/>
  <c r="E62" i="2"/>
  <c r="D62" i="2"/>
  <c r="H61" i="2"/>
  <c r="G61" i="2"/>
  <c r="F61" i="2"/>
  <c r="E61" i="2"/>
  <c r="D61" i="2"/>
  <c r="H60" i="2"/>
  <c r="G60" i="2"/>
  <c r="F60" i="2"/>
  <c r="E60" i="2"/>
  <c r="D60" i="2"/>
  <c r="H59" i="2"/>
  <c r="G59" i="2"/>
  <c r="F59" i="2"/>
  <c r="E59" i="2"/>
  <c r="D59" i="2"/>
  <c r="H58" i="2"/>
  <c r="G58" i="2"/>
  <c r="F58" i="2"/>
  <c r="E58" i="2"/>
  <c r="D58" i="2"/>
  <c r="H57" i="2"/>
  <c r="G57" i="2"/>
  <c r="F57" i="2"/>
  <c r="E57" i="2"/>
  <c r="D57" i="2"/>
  <c r="H56" i="2"/>
  <c r="G56" i="2"/>
  <c r="F56" i="2"/>
  <c r="E56" i="2"/>
  <c r="D56" i="2"/>
  <c r="H55" i="2"/>
  <c r="G55" i="2"/>
  <c r="F55" i="2"/>
  <c r="E55" i="2"/>
  <c r="D55" i="2"/>
  <c r="H54" i="2"/>
  <c r="G54" i="2"/>
  <c r="F54" i="2"/>
  <c r="E54" i="2"/>
  <c r="D54" i="2"/>
  <c r="H53" i="2"/>
  <c r="G53" i="2"/>
  <c r="F53" i="2"/>
  <c r="E53" i="2"/>
  <c r="D53" i="2"/>
  <c r="H52" i="2"/>
  <c r="G52" i="2"/>
  <c r="F52" i="2"/>
  <c r="E52" i="2"/>
  <c r="D52" i="2"/>
  <c r="H51" i="2"/>
  <c r="G51" i="2"/>
  <c r="F51" i="2"/>
  <c r="E51" i="2"/>
  <c r="D51" i="2"/>
  <c r="H124" i="2"/>
  <c r="G124" i="2"/>
  <c r="F124" i="2"/>
  <c r="E124" i="2"/>
  <c r="D124" i="2"/>
  <c r="H122" i="2"/>
  <c r="G122" i="2"/>
  <c r="F122" i="2"/>
  <c r="E122" i="2"/>
  <c r="D122" i="2"/>
  <c r="H121" i="2"/>
  <c r="G121" i="2"/>
  <c r="F121" i="2"/>
  <c r="E121" i="2"/>
  <c r="D121" i="2"/>
  <c r="H120" i="2"/>
  <c r="G120" i="2"/>
  <c r="F120" i="2"/>
  <c r="E120" i="2"/>
  <c r="D120" i="2"/>
  <c r="H119" i="2"/>
  <c r="G119" i="2"/>
  <c r="F119" i="2"/>
  <c r="E119" i="2"/>
  <c r="D119" i="2"/>
  <c r="H118" i="2"/>
  <c r="G118" i="2"/>
  <c r="F118" i="2"/>
  <c r="E118" i="2"/>
  <c r="D118" i="2"/>
  <c r="H117" i="2"/>
  <c r="G117" i="2"/>
  <c r="F117" i="2"/>
  <c r="E117" i="2"/>
  <c r="D117" i="2"/>
  <c r="H116" i="2"/>
  <c r="G116" i="2"/>
  <c r="F116" i="2"/>
  <c r="E116" i="2"/>
  <c r="D116" i="2"/>
  <c r="H115" i="2"/>
  <c r="G115" i="2"/>
  <c r="F115" i="2"/>
  <c r="E115" i="2"/>
  <c r="D115" i="2"/>
  <c r="H114" i="2"/>
  <c r="G114" i="2"/>
  <c r="F114" i="2"/>
  <c r="E114" i="2"/>
  <c r="D114" i="2"/>
  <c r="H113" i="2"/>
  <c r="G113" i="2"/>
  <c r="F113" i="2"/>
  <c r="E113" i="2"/>
  <c r="D113" i="2"/>
  <c r="H112" i="2"/>
  <c r="G112" i="2"/>
  <c r="F112" i="2"/>
  <c r="E112" i="2"/>
  <c r="D112" i="2"/>
  <c r="H111" i="2"/>
  <c r="G111" i="2"/>
  <c r="F111" i="2"/>
  <c r="E111" i="2"/>
  <c r="D111" i="2"/>
  <c r="H110" i="2"/>
  <c r="G110" i="2"/>
  <c r="F110" i="2"/>
  <c r="E110" i="2"/>
  <c r="D110" i="2"/>
  <c r="H109" i="2"/>
  <c r="G109" i="2"/>
  <c r="F109" i="2"/>
  <c r="E109" i="2"/>
  <c r="D109" i="2"/>
  <c r="H108" i="2"/>
  <c r="G108" i="2"/>
  <c r="F108" i="2"/>
  <c r="E108" i="2"/>
  <c r="D108" i="2"/>
  <c r="H107" i="2"/>
  <c r="G107" i="2"/>
  <c r="F107" i="2"/>
  <c r="E107" i="2"/>
  <c r="D107" i="2"/>
  <c r="H106" i="2"/>
  <c r="G106" i="2"/>
  <c r="F106" i="2"/>
  <c r="E106" i="2"/>
  <c r="D106" i="2"/>
  <c r="H105" i="2"/>
  <c r="G105" i="2"/>
  <c r="F105" i="2"/>
  <c r="E105" i="2"/>
  <c r="D105" i="2"/>
  <c r="H104" i="2"/>
  <c r="G104" i="2"/>
  <c r="F104" i="2"/>
  <c r="E104" i="2"/>
  <c r="D104" i="2"/>
  <c r="H103" i="2"/>
  <c r="G103" i="2"/>
  <c r="F103" i="2"/>
  <c r="E103" i="2"/>
  <c r="D103" i="2"/>
  <c r="H102" i="2"/>
  <c r="G102" i="2"/>
  <c r="F102" i="2"/>
  <c r="E102" i="2"/>
  <c r="D102" i="2"/>
  <c r="H101" i="2"/>
  <c r="G101" i="2"/>
  <c r="F101" i="2"/>
  <c r="E101" i="2"/>
  <c r="D101" i="2"/>
  <c r="H100" i="2"/>
  <c r="G100" i="2"/>
  <c r="F100" i="2"/>
  <c r="E100" i="2"/>
  <c r="D100" i="2"/>
  <c r="H99" i="2"/>
  <c r="G99" i="2"/>
  <c r="F99" i="2"/>
  <c r="E99" i="2"/>
  <c r="D99" i="2"/>
  <c r="H98" i="2"/>
  <c r="G98" i="2"/>
  <c r="F98" i="2"/>
  <c r="E98" i="2"/>
  <c r="D98" i="2"/>
  <c r="H97" i="2"/>
  <c r="G97" i="2"/>
  <c r="F97" i="2"/>
  <c r="E97" i="2"/>
  <c r="D97" i="2"/>
  <c r="H96" i="2"/>
  <c r="G96" i="2"/>
  <c r="F96" i="2"/>
  <c r="E96" i="2"/>
  <c r="D96" i="2"/>
  <c r="H95" i="2"/>
  <c r="G95" i="2"/>
  <c r="F95" i="2"/>
  <c r="E95" i="2"/>
  <c r="D95" i="2"/>
  <c r="H94" i="2"/>
  <c r="G94" i="2"/>
  <c r="F94" i="2"/>
  <c r="E94" i="2"/>
  <c r="D94" i="2"/>
  <c r="H167" i="2" l="1"/>
  <c r="G167" i="2"/>
  <c r="F167" i="2"/>
  <c r="E167" i="2"/>
  <c r="D167" i="2"/>
  <c r="H165" i="2"/>
  <c r="G165" i="2"/>
  <c r="F165" i="2"/>
  <c r="E165" i="2"/>
  <c r="D165" i="2"/>
  <c r="H164" i="2"/>
  <c r="G164" i="2"/>
  <c r="F164" i="2"/>
  <c r="E164" i="2"/>
  <c r="D164" i="2"/>
  <c r="H163" i="2"/>
  <c r="G163" i="2"/>
  <c r="F163" i="2"/>
  <c r="E163" i="2"/>
  <c r="D163" i="2"/>
  <c r="H162" i="2"/>
  <c r="G162" i="2"/>
  <c r="F162" i="2"/>
  <c r="E162" i="2"/>
  <c r="D162" i="2"/>
  <c r="H161" i="2"/>
  <c r="G161" i="2"/>
  <c r="F161" i="2"/>
  <c r="E161" i="2"/>
  <c r="D161" i="2"/>
  <c r="H160" i="2"/>
  <c r="G160" i="2"/>
  <c r="F160" i="2"/>
  <c r="E160" i="2"/>
  <c r="D160" i="2"/>
  <c r="H159" i="2"/>
  <c r="G159" i="2"/>
  <c r="F159" i="2"/>
  <c r="E159" i="2"/>
  <c r="D159" i="2"/>
  <c r="H158" i="2"/>
  <c r="G158" i="2"/>
  <c r="F158" i="2"/>
  <c r="E158" i="2"/>
  <c r="D158" i="2"/>
  <c r="H157" i="2"/>
  <c r="G157" i="2"/>
  <c r="F157" i="2"/>
  <c r="E157" i="2"/>
  <c r="D157" i="2"/>
  <c r="H156" i="2"/>
  <c r="G156" i="2"/>
  <c r="F156" i="2"/>
  <c r="E156" i="2"/>
  <c r="D156" i="2"/>
  <c r="H155" i="2"/>
  <c r="G155" i="2"/>
  <c r="F155" i="2"/>
  <c r="E155" i="2"/>
  <c r="D155" i="2"/>
  <c r="H154" i="2"/>
  <c r="G154" i="2"/>
  <c r="F154" i="2"/>
  <c r="E154" i="2"/>
  <c r="D154" i="2"/>
  <c r="H153" i="2"/>
  <c r="G153" i="2"/>
  <c r="F153" i="2"/>
  <c r="E153" i="2"/>
  <c r="D153" i="2"/>
  <c r="H152" i="2"/>
  <c r="G152" i="2"/>
  <c r="F152" i="2"/>
  <c r="E152" i="2"/>
  <c r="D152" i="2"/>
  <c r="H151" i="2"/>
  <c r="G151" i="2"/>
  <c r="F151" i="2"/>
  <c r="E151" i="2"/>
  <c r="D151" i="2"/>
  <c r="H150" i="2"/>
  <c r="G150" i="2"/>
  <c r="F150" i="2"/>
  <c r="E150" i="2"/>
  <c r="D150" i="2"/>
  <c r="H149" i="2"/>
  <c r="G149" i="2"/>
  <c r="F149" i="2"/>
  <c r="E149" i="2"/>
  <c r="D149" i="2"/>
  <c r="H148" i="2"/>
  <c r="G148" i="2"/>
  <c r="F148" i="2"/>
  <c r="E148" i="2"/>
  <c r="D148" i="2"/>
  <c r="H147" i="2"/>
  <c r="G147" i="2"/>
  <c r="F147" i="2"/>
  <c r="E147" i="2"/>
  <c r="D147" i="2"/>
  <c r="H146" i="2"/>
  <c r="G146" i="2"/>
  <c r="F146" i="2"/>
  <c r="E146" i="2"/>
  <c r="D146" i="2"/>
  <c r="H145" i="2"/>
  <c r="G145" i="2"/>
  <c r="F145" i="2"/>
  <c r="E145" i="2"/>
  <c r="D145" i="2"/>
  <c r="H144" i="2"/>
  <c r="G144" i="2"/>
  <c r="F144" i="2"/>
  <c r="E144" i="2"/>
  <c r="D144" i="2"/>
  <c r="H143" i="2"/>
  <c r="G143" i="2"/>
  <c r="F143" i="2"/>
  <c r="E143" i="2"/>
  <c r="D143" i="2"/>
  <c r="H142" i="2"/>
  <c r="G142" i="2"/>
  <c r="F142" i="2"/>
  <c r="E142" i="2"/>
  <c r="D142" i="2"/>
  <c r="H141" i="2"/>
  <c r="G141" i="2"/>
  <c r="F141" i="2"/>
  <c r="E141" i="2"/>
  <c r="D141" i="2"/>
  <c r="H140" i="2"/>
  <c r="G140" i="2"/>
  <c r="F140" i="2"/>
  <c r="E140" i="2"/>
  <c r="D140" i="2"/>
  <c r="H139" i="2"/>
  <c r="G139" i="2"/>
  <c r="F139" i="2"/>
  <c r="E139" i="2"/>
  <c r="D139" i="2"/>
  <c r="H138" i="2"/>
  <c r="G138" i="2"/>
  <c r="F138" i="2"/>
  <c r="E138" i="2"/>
  <c r="D138" i="2"/>
  <c r="H137" i="2"/>
  <c r="G137" i="2"/>
  <c r="F137" i="2"/>
  <c r="E137" i="2"/>
  <c r="D137" i="2"/>
  <c r="H210" i="2" l="1"/>
  <c r="G210" i="2"/>
  <c r="F210" i="2"/>
  <c r="E210" i="2"/>
  <c r="D210" i="2"/>
  <c r="H208" i="2"/>
  <c r="G208" i="2"/>
  <c r="F208" i="2"/>
  <c r="E208" i="2"/>
  <c r="D208" i="2"/>
  <c r="H207" i="2"/>
  <c r="G207" i="2"/>
  <c r="F207" i="2"/>
  <c r="E207" i="2"/>
  <c r="D207" i="2"/>
  <c r="H206" i="2"/>
  <c r="G206" i="2"/>
  <c r="F206" i="2"/>
  <c r="E206" i="2"/>
  <c r="D206" i="2"/>
  <c r="H205" i="2"/>
  <c r="G205" i="2"/>
  <c r="F205" i="2"/>
  <c r="E205" i="2"/>
  <c r="D205" i="2"/>
  <c r="H204" i="2"/>
  <c r="G204" i="2"/>
  <c r="F204" i="2"/>
  <c r="E204" i="2"/>
  <c r="D204" i="2"/>
  <c r="H203" i="2"/>
  <c r="G203" i="2"/>
  <c r="F203" i="2"/>
  <c r="E203" i="2"/>
  <c r="D203" i="2"/>
  <c r="H202" i="2"/>
  <c r="G202" i="2"/>
  <c r="F202" i="2"/>
  <c r="E202" i="2"/>
  <c r="D202" i="2"/>
  <c r="H201" i="2"/>
  <c r="G201" i="2"/>
  <c r="F201" i="2"/>
  <c r="E201" i="2"/>
  <c r="D201" i="2"/>
  <c r="H200" i="2"/>
  <c r="G200" i="2"/>
  <c r="F200" i="2"/>
  <c r="E200" i="2"/>
  <c r="D200" i="2"/>
  <c r="H199" i="2"/>
  <c r="G199" i="2"/>
  <c r="F199" i="2"/>
  <c r="E199" i="2"/>
  <c r="D199" i="2"/>
  <c r="H198" i="2"/>
  <c r="G198" i="2"/>
  <c r="F198" i="2"/>
  <c r="E198" i="2"/>
  <c r="D198" i="2"/>
  <c r="H197" i="2"/>
  <c r="G197" i="2"/>
  <c r="F197" i="2"/>
  <c r="E197" i="2"/>
  <c r="D197" i="2"/>
  <c r="H196" i="2"/>
  <c r="G196" i="2"/>
  <c r="F196" i="2"/>
  <c r="E196" i="2"/>
  <c r="D196" i="2"/>
  <c r="H195" i="2"/>
  <c r="G195" i="2"/>
  <c r="F195" i="2"/>
  <c r="E195" i="2"/>
  <c r="D195" i="2"/>
  <c r="H194" i="2"/>
  <c r="G194" i="2"/>
  <c r="F194" i="2"/>
  <c r="E194" i="2"/>
  <c r="D194" i="2"/>
  <c r="H193" i="2"/>
  <c r="G193" i="2"/>
  <c r="F193" i="2"/>
  <c r="E193" i="2"/>
  <c r="D193" i="2"/>
  <c r="H192" i="2"/>
  <c r="G192" i="2"/>
  <c r="F192" i="2"/>
  <c r="E192" i="2"/>
  <c r="D192" i="2"/>
  <c r="H191" i="2"/>
  <c r="G191" i="2"/>
  <c r="F191" i="2"/>
  <c r="E191" i="2"/>
  <c r="D191" i="2"/>
  <c r="H190" i="2"/>
  <c r="G190" i="2"/>
  <c r="F190" i="2"/>
  <c r="E190" i="2"/>
  <c r="D190" i="2"/>
  <c r="H189" i="2"/>
  <c r="G189" i="2"/>
  <c r="F189" i="2"/>
  <c r="E189" i="2"/>
  <c r="D189" i="2"/>
  <c r="H188" i="2"/>
  <c r="G188" i="2"/>
  <c r="F188" i="2"/>
  <c r="E188" i="2"/>
  <c r="D188" i="2"/>
  <c r="H187" i="2"/>
  <c r="G187" i="2"/>
  <c r="F187" i="2"/>
  <c r="E187" i="2"/>
  <c r="D187" i="2"/>
  <c r="H186" i="2"/>
  <c r="G186" i="2"/>
  <c r="F186" i="2"/>
  <c r="E186" i="2"/>
  <c r="D186" i="2"/>
  <c r="H185" i="2"/>
  <c r="G185" i="2"/>
  <c r="F185" i="2"/>
  <c r="E185" i="2"/>
  <c r="D185" i="2"/>
  <c r="H184" i="2"/>
  <c r="G184" i="2"/>
  <c r="F184" i="2"/>
  <c r="E184" i="2"/>
  <c r="D184" i="2"/>
  <c r="H183" i="2"/>
  <c r="G183" i="2"/>
  <c r="F183" i="2"/>
  <c r="E183" i="2"/>
  <c r="D183" i="2"/>
  <c r="H182" i="2"/>
  <c r="G182" i="2"/>
  <c r="F182" i="2"/>
  <c r="E182" i="2"/>
  <c r="D182" i="2"/>
  <c r="H181" i="2"/>
  <c r="G181" i="2"/>
  <c r="F181" i="2"/>
  <c r="E181" i="2"/>
  <c r="D181" i="2"/>
  <c r="H180" i="2"/>
  <c r="G180" i="2"/>
  <c r="F180" i="2"/>
  <c r="E180" i="2"/>
  <c r="D180" i="2"/>
  <c r="H253" i="2" l="1"/>
  <c r="G253" i="2"/>
  <c r="F253" i="2"/>
  <c r="E253" i="2"/>
  <c r="D253" i="2"/>
  <c r="H251" i="2"/>
  <c r="G251" i="2"/>
  <c r="F251" i="2"/>
  <c r="E251" i="2"/>
  <c r="D251" i="2"/>
  <c r="H250" i="2"/>
  <c r="G250" i="2"/>
  <c r="F250" i="2"/>
  <c r="E250" i="2"/>
  <c r="D250" i="2"/>
  <c r="H249" i="2"/>
  <c r="G249" i="2"/>
  <c r="F249" i="2"/>
  <c r="E249" i="2"/>
  <c r="D249" i="2"/>
  <c r="H248" i="2"/>
  <c r="G248" i="2"/>
  <c r="F248" i="2"/>
  <c r="E248" i="2"/>
  <c r="D248" i="2"/>
  <c r="H247" i="2"/>
  <c r="G247" i="2"/>
  <c r="F247" i="2"/>
  <c r="E247" i="2"/>
  <c r="D247" i="2"/>
  <c r="H246" i="2"/>
  <c r="G246" i="2"/>
  <c r="F246" i="2"/>
  <c r="E246" i="2"/>
  <c r="D246" i="2"/>
  <c r="H245" i="2"/>
  <c r="G245" i="2"/>
  <c r="F245" i="2"/>
  <c r="E245" i="2"/>
  <c r="D245" i="2"/>
  <c r="H244" i="2"/>
  <c r="G244" i="2"/>
  <c r="F244" i="2"/>
  <c r="E244" i="2"/>
  <c r="D244" i="2"/>
  <c r="H243" i="2"/>
  <c r="G243" i="2"/>
  <c r="F243" i="2"/>
  <c r="E243" i="2"/>
  <c r="D243" i="2"/>
  <c r="H242" i="2"/>
  <c r="G242" i="2"/>
  <c r="F242" i="2"/>
  <c r="E242" i="2"/>
  <c r="D242" i="2"/>
  <c r="H241" i="2"/>
  <c r="G241" i="2"/>
  <c r="F241" i="2"/>
  <c r="E241" i="2"/>
  <c r="D241" i="2"/>
  <c r="H240" i="2"/>
  <c r="G240" i="2"/>
  <c r="F240" i="2"/>
  <c r="E240" i="2"/>
  <c r="D240" i="2"/>
  <c r="H239" i="2"/>
  <c r="G239" i="2"/>
  <c r="F239" i="2"/>
  <c r="E239" i="2"/>
  <c r="D239" i="2"/>
  <c r="H238" i="2"/>
  <c r="G238" i="2"/>
  <c r="F238" i="2"/>
  <c r="E238" i="2"/>
  <c r="D238" i="2"/>
  <c r="H237" i="2"/>
  <c r="G237" i="2"/>
  <c r="F237" i="2"/>
  <c r="E237" i="2"/>
  <c r="D237" i="2"/>
  <c r="H236" i="2"/>
  <c r="G236" i="2"/>
  <c r="F236" i="2"/>
  <c r="E236" i="2"/>
  <c r="D236" i="2"/>
  <c r="H235" i="2"/>
  <c r="G235" i="2"/>
  <c r="F235" i="2"/>
  <c r="E235" i="2"/>
  <c r="D235" i="2"/>
  <c r="H234" i="2"/>
  <c r="G234" i="2"/>
  <c r="F234" i="2"/>
  <c r="E234" i="2"/>
  <c r="D234" i="2"/>
  <c r="H233" i="2"/>
  <c r="G233" i="2"/>
  <c r="F233" i="2"/>
  <c r="E233" i="2"/>
  <c r="D233" i="2"/>
  <c r="H232" i="2"/>
  <c r="G232" i="2"/>
  <c r="F232" i="2"/>
  <c r="E232" i="2"/>
  <c r="D232" i="2"/>
  <c r="H231" i="2"/>
  <c r="G231" i="2"/>
  <c r="F231" i="2"/>
  <c r="E231" i="2"/>
  <c r="D231" i="2"/>
  <c r="H230" i="2"/>
  <c r="G230" i="2"/>
  <c r="F230" i="2"/>
  <c r="E230" i="2"/>
  <c r="D230" i="2"/>
  <c r="H229" i="2"/>
  <c r="G229" i="2"/>
  <c r="F229" i="2"/>
  <c r="E229" i="2"/>
  <c r="D229" i="2"/>
  <c r="H228" i="2"/>
  <c r="G228" i="2"/>
  <c r="F228" i="2"/>
  <c r="E228" i="2"/>
  <c r="D228" i="2"/>
  <c r="H227" i="2"/>
  <c r="G227" i="2"/>
  <c r="F227" i="2"/>
  <c r="E227" i="2"/>
  <c r="D227" i="2"/>
  <c r="H226" i="2"/>
  <c r="G226" i="2"/>
  <c r="F226" i="2"/>
  <c r="E226" i="2"/>
  <c r="D226" i="2"/>
  <c r="H225" i="2"/>
  <c r="G225" i="2"/>
  <c r="F225" i="2"/>
  <c r="E225" i="2"/>
  <c r="D225" i="2"/>
  <c r="H224" i="2"/>
  <c r="G224" i="2"/>
  <c r="F224" i="2"/>
  <c r="E224" i="2"/>
  <c r="D224" i="2"/>
  <c r="H223" i="2"/>
  <c r="G223" i="2"/>
  <c r="F223" i="2"/>
  <c r="E223" i="2"/>
  <c r="D223" i="2"/>
  <c r="H296" i="2" l="1"/>
  <c r="G296" i="2"/>
  <c r="F296" i="2"/>
  <c r="E296" i="2"/>
  <c r="D296" i="2"/>
  <c r="H294" i="2"/>
  <c r="G294" i="2"/>
  <c r="F294" i="2"/>
  <c r="E294" i="2"/>
  <c r="D294" i="2"/>
  <c r="H293" i="2"/>
  <c r="G293" i="2"/>
  <c r="F293" i="2"/>
  <c r="E293" i="2"/>
  <c r="D293" i="2"/>
  <c r="H292" i="2"/>
  <c r="G292" i="2"/>
  <c r="F292" i="2"/>
  <c r="E292" i="2"/>
  <c r="D292" i="2"/>
  <c r="H291" i="2"/>
  <c r="G291" i="2"/>
  <c r="F291" i="2"/>
  <c r="E291" i="2"/>
  <c r="D291" i="2"/>
  <c r="H290" i="2"/>
  <c r="G290" i="2"/>
  <c r="F290" i="2"/>
  <c r="E290" i="2"/>
  <c r="D290" i="2"/>
  <c r="H289" i="2"/>
  <c r="G289" i="2"/>
  <c r="F289" i="2"/>
  <c r="E289" i="2"/>
  <c r="D289" i="2"/>
  <c r="H288" i="2"/>
  <c r="G288" i="2"/>
  <c r="F288" i="2"/>
  <c r="E288" i="2"/>
  <c r="D288" i="2"/>
  <c r="H287" i="2"/>
  <c r="G287" i="2"/>
  <c r="F287" i="2"/>
  <c r="E287" i="2"/>
  <c r="D287" i="2"/>
  <c r="H286" i="2"/>
  <c r="G286" i="2"/>
  <c r="F286" i="2"/>
  <c r="E286" i="2"/>
  <c r="D286" i="2"/>
  <c r="H285" i="2"/>
  <c r="G285" i="2"/>
  <c r="F285" i="2"/>
  <c r="E285" i="2"/>
  <c r="D285" i="2"/>
  <c r="H284" i="2"/>
  <c r="G284" i="2"/>
  <c r="F284" i="2"/>
  <c r="E284" i="2"/>
  <c r="D284" i="2"/>
  <c r="H283" i="2"/>
  <c r="G283" i="2"/>
  <c r="F283" i="2"/>
  <c r="E283" i="2"/>
  <c r="D283" i="2"/>
  <c r="H282" i="2"/>
  <c r="G282" i="2"/>
  <c r="F282" i="2"/>
  <c r="E282" i="2"/>
  <c r="D282" i="2"/>
  <c r="H281" i="2"/>
  <c r="G281" i="2"/>
  <c r="F281" i="2"/>
  <c r="E281" i="2"/>
  <c r="D281" i="2"/>
  <c r="H280" i="2"/>
  <c r="G280" i="2"/>
  <c r="F280" i="2"/>
  <c r="E280" i="2"/>
  <c r="D280" i="2"/>
  <c r="H279" i="2"/>
  <c r="G279" i="2"/>
  <c r="F279" i="2"/>
  <c r="E279" i="2"/>
  <c r="D279" i="2"/>
  <c r="H278" i="2"/>
  <c r="G278" i="2"/>
  <c r="F278" i="2"/>
  <c r="E278" i="2"/>
  <c r="D278" i="2"/>
  <c r="H277" i="2"/>
  <c r="G277" i="2"/>
  <c r="F277" i="2"/>
  <c r="E277" i="2"/>
  <c r="D277" i="2"/>
  <c r="H276" i="2"/>
  <c r="G276" i="2"/>
  <c r="F276" i="2"/>
  <c r="E276" i="2"/>
  <c r="D276" i="2"/>
  <c r="H275" i="2"/>
  <c r="G275" i="2"/>
  <c r="F275" i="2"/>
  <c r="E275" i="2"/>
  <c r="D275" i="2"/>
  <c r="H274" i="2"/>
  <c r="G274" i="2"/>
  <c r="F274" i="2"/>
  <c r="E274" i="2"/>
  <c r="D274" i="2"/>
  <c r="H273" i="2"/>
  <c r="G273" i="2"/>
  <c r="F273" i="2"/>
  <c r="E273" i="2"/>
  <c r="D273" i="2"/>
  <c r="H272" i="2"/>
  <c r="G272" i="2"/>
  <c r="F272" i="2"/>
  <c r="E272" i="2"/>
  <c r="D272" i="2"/>
  <c r="H271" i="2"/>
  <c r="G271" i="2"/>
  <c r="F271" i="2"/>
  <c r="E271" i="2"/>
  <c r="D271" i="2"/>
  <c r="H270" i="2"/>
  <c r="G270" i="2"/>
  <c r="F270" i="2"/>
  <c r="E270" i="2"/>
  <c r="D270" i="2"/>
  <c r="H269" i="2"/>
  <c r="G269" i="2"/>
  <c r="F269" i="2"/>
  <c r="E269" i="2"/>
  <c r="D269" i="2"/>
  <c r="H268" i="2"/>
  <c r="G268" i="2"/>
  <c r="F268" i="2"/>
  <c r="E268" i="2"/>
  <c r="D268" i="2"/>
  <c r="H267" i="2"/>
  <c r="G267" i="2"/>
  <c r="F267" i="2"/>
  <c r="E267" i="2"/>
  <c r="D267" i="2"/>
  <c r="H266" i="2"/>
  <c r="G266" i="2"/>
  <c r="F266" i="2"/>
  <c r="E266" i="2"/>
  <c r="D266" i="2"/>
  <c r="H339" i="2" l="1"/>
  <c r="G339" i="2"/>
  <c r="F339" i="2"/>
  <c r="E339" i="2"/>
  <c r="D339" i="2"/>
  <c r="H337" i="2"/>
  <c r="G337" i="2"/>
  <c r="F337" i="2"/>
  <c r="E337" i="2"/>
  <c r="D337" i="2"/>
  <c r="H336" i="2"/>
  <c r="G336" i="2"/>
  <c r="F336" i="2"/>
  <c r="E336" i="2"/>
  <c r="D336" i="2"/>
  <c r="H335" i="2"/>
  <c r="G335" i="2"/>
  <c r="F335" i="2"/>
  <c r="E335" i="2"/>
  <c r="D335" i="2"/>
  <c r="H334" i="2"/>
  <c r="G334" i="2"/>
  <c r="F334" i="2"/>
  <c r="E334" i="2"/>
  <c r="D334" i="2"/>
  <c r="H333" i="2"/>
  <c r="G333" i="2"/>
  <c r="F333" i="2"/>
  <c r="E333" i="2"/>
  <c r="D333" i="2"/>
  <c r="H332" i="2"/>
  <c r="G332" i="2"/>
  <c r="F332" i="2"/>
  <c r="E332" i="2"/>
  <c r="D332" i="2"/>
  <c r="H331" i="2"/>
  <c r="G331" i="2"/>
  <c r="F331" i="2"/>
  <c r="E331" i="2"/>
  <c r="D331" i="2"/>
  <c r="H330" i="2"/>
  <c r="G330" i="2"/>
  <c r="F330" i="2"/>
  <c r="E330" i="2"/>
  <c r="D330" i="2"/>
  <c r="H329" i="2"/>
  <c r="G329" i="2"/>
  <c r="F329" i="2"/>
  <c r="E329" i="2"/>
  <c r="D329" i="2"/>
  <c r="H328" i="2"/>
  <c r="G328" i="2"/>
  <c r="F328" i="2"/>
  <c r="E328" i="2"/>
  <c r="D328" i="2"/>
  <c r="H327" i="2"/>
  <c r="G327" i="2"/>
  <c r="F327" i="2"/>
  <c r="E327" i="2"/>
  <c r="D327" i="2"/>
  <c r="H326" i="2"/>
  <c r="G326" i="2"/>
  <c r="F326" i="2"/>
  <c r="E326" i="2"/>
  <c r="D326" i="2"/>
  <c r="H325" i="2"/>
  <c r="G325" i="2"/>
  <c r="F325" i="2"/>
  <c r="E325" i="2"/>
  <c r="D325" i="2"/>
  <c r="H324" i="2"/>
  <c r="G324" i="2"/>
  <c r="F324" i="2"/>
  <c r="E324" i="2"/>
  <c r="D324" i="2"/>
  <c r="H323" i="2"/>
  <c r="G323" i="2"/>
  <c r="F323" i="2"/>
  <c r="E323" i="2"/>
  <c r="D323" i="2"/>
  <c r="H322" i="2"/>
  <c r="G322" i="2"/>
  <c r="F322" i="2"/>
  <c r="E322" i="2"/>
  <c r="D322" i="2"/>
  <c r="H321" i="2"/>
  <c r="G321" i="2"/>
  <c r="F321" i="2"/>
  <c r="E321" i="2"/>
  <c r="D321" i="2"/>
  <c r="H320" i="2"/>
  <c r="G320" i="2"/>
  <c r="F320" i="2"/>
  <c r="E320" i="2"/>
  <c r="D320" i="2"/>
  <c r="H319" i="2"/>
  <c r="G319" i="2"/>
  <c r="F319" i="2"/>
  <c r="E319" i="2"/>
  <c r="D319" i="2"/>
  <c r="H318" i="2"/>
  <c r="G318" i="2"/>
  <c r="F318" i="2"/>
  <c r="E318" i="2"/>
  <c r="D318" i="2"/>
  <c r="H317" i="2"/>
  <c r="G317" i="2"/>
  <c r="F317" i="2"/>
  <c r="E317" i="2"/>
  <c r="D317" i="2"/>
  <c r="H316" i="2"/>
  <c r="G316" i="2"/>
  <c r="F316" i="2"/>
  <c r="E316" i="2"/>
  <c r="D316" i="2"/>
  <c r="H315" i="2"/>
  <c r="G315" i="2"/>
  <c r="F315" i="2"/>
  <c r="E315" i="2"/>
  <c r="D315" i="2"/>
  <c r="H314" i="2"/>
  <c r="G314" i="2"/>
  <c r="F314" i="2"/>
  <c r="E314" i="2"/>
  <c r="D314" i="2"/>
  <c r="H313" i="2"/>
  <c r="G313" i="2"/>
  <c r="F313" i="2"/>
  <c r="E313" i="2"/>
  <c r="D313" i="2"/>
  <c r="H312" i="2"/>
  <c r="G312" i="2"/>
  <c r="F312" i="2"/>
  <c r="E312" i="2"/>
  <c r="D312" i="2"/>
  <c r="H311" i="2"/>
  <c r="G311" i="2"/>
  <c r="F311" i="2"/>
  <c r="E311" i="2"/>
  <c r="D311" i="2"/>
  <c r="H310" i="2"/>
  <c r="G310" i="2"/>
  <c r="F310" i="2"/>
  <c r="E310" i="2"/>
  <c r="D310" i="2"/>
  <c r="H309" i="2"/>
  <c r="G309" i="2"/>
  <c r="F309" i="2"/>
  <c r="E309" i="2"/>
  <c r="D309" i="2"/>
  <c r="H382" i="2" l="1"/>
  <c r="G382" i="2"/>
  <c r="F382" i="2"/>
  <c r="E382" i="2"/>
  <c r="D382" i="2"/>
  <c r="H380" i="2"/>
  <c r="G380" i="2"/>
  <c r="F380" i="2"/>
  <c r="E380" i="2"/>
  <c r="D380" i="2"/>
  <c r="H379" i="2"/>
  <c r="G379" i="2"/>
  <c r="F379" i="2"/>
  <c r="E379" i="2"/>
  <c r="D379" i="2"/>
  <c r="H378" i="2"/>
  <c r="G378" i="2"/>
  <c r="F378" i="2"/>
  <c r="E378" i="2"/>
  <c r="D378" i="2"/>
  <c r="H377" i="2"/>
  <c r="G377" i="2"/>
  <c r="F377" i="2"/>
  <c r="E377" i="2"/>
  <c r="D377" i="2"/>
  <c r="H376" i="2"/>
  <c r="G376" i="2"/>
  <c r="F376" i="2"/>
  <c r="E376" i="2"/>
  <c r="D376" i="2"/>
  <c r="H375" i="2"/>
  <c r="G375" i="2"/>
  <c r="F375" i="2"/>
  <c r="E375" i="2"/>
  <c r="D375" i="2"/>
  <c r="H374" i="2"/>
  <c r="G374" i="2"/>
  <c r="F374" i="2"/>
  <c r="E374" i="2"/>
  <c r="D374" i="2"/>
  <c r="H373" i="2"/>
  <c r="G373" i="2"/>
  <c r="F373" i="2"/>
  <c r="E373" i="2"/>
  <c r="D373" i="2"/>
  <c r="H372" i="2"/>
  <c r="G372" i="2"/>
  <c r="F372" i="2"/>
  <c r="E372" i="2"/>
  <c r="D372" i="2"/>
  <c r="H371" i="2"/>
  <c r="G371" i="2"/>
  <c r="F371" i="2"/>
  <c r="E371" i="2"/>
  <c r="D371" i="2"/>
  <c r="H370" i="2"/>
  <c r="G370" i="2"/>
  <c r="F370" i="2"/>
  <c r="E370" i="2"/>
  <c r="D370" i="2"/>
  <c r="H369" i="2"/>
  <c r="G369" i="2"/>
  <c r="F369" i="2"/>
  <c r="E369" i="2"/>
  <c r="D369" i="2"/>
  <c r="H368" i="2"/>
  <c r="G368" i="2"/>
  <c r="F368" i="2"/>
  <c r="E368" i="2"/>
  <c r="D368" i="2"/>
  <c r="H367" i="2"/>
  <c r="G367" i="2"/>
  <c r="F367" i="2"/>
  <c r="E367" i="2"/>
  <c r="D367" i="2"/>
  <c r="H366" i="2"/>
  <c r="G366" i="2"/>
  <c r="F366" i="2"/>
  <c r="E366" i="2"/>
  <c r="D366" i="2"/>
  <c r="H365" i="2"/>
  <c r="G365" i="2"/>
  <c r="F365" i="2"/>
  <c r="E365" i="2"/>
  <c r="D365" i="2"/>
  <c r="H364" i="2"/>
  <c r="G364" i="2"/>
  <c r="F364" i="2"/>
  <c r="E364" i="2"/>
  <c r="D364" i="2"/>
  <c r="H363" i="2"/>
  <c r="G363" i="2"/>
  <c r="F363" i="2"/>
  <c r="E363" i="2"/>
  <c r="D363" i="2"/>
  <c r="H362" i="2"/>
  <c r="G362" i="2"/>
  <c r="F362" i="2"/>
  <c r="E362" i="2"/>
  <c r="D362" i="2"/>
  <c r="H361" i="2"/>
  <c r="G361" i="2"/>
  <c r="F361" i="2"/>
  <c r="E361" i="2"/>
  <c r="D361" i="2"/>
  <c r="H360" i="2"/>
  <c r="G360" i="2"/>
  <c r="F360" i="2"/>
  <c r="E360" i="2"/>
  <c r="D360" i="2"/>
  <c r="H359" i="2"/>
  <c r="G359" i="2"/>
  <c r="F359" i="2"/>
  <c r="E359" i="2"/>
  <c r="D359" i="2"/>
  <c r="H358" i="2"/>
  <c r="G358" i="2"/>
  <c r="F358" i="2"/>
  <c r="E358" i="2"/>
  <c r="D358" i="2"/>
  <c r="H357" i="2"/>
  <c r="G357" i="2"/>
  <c r="F357" i="2"/>
  <c r="E357" i="2"/>
  <c r="D357" i="2"/>
  <c r="H356" i="2"/>
  <c r="G356" i="2"/>
  <c r="F356" i="2"/>
  <c r="E356" i="2"/>
  <c r="D356" i="2"/>
  <c r="H355" i="2"/>
  <c r="G355" i="2"/>
  <c r="F355" i="2"/>
  <c r="E355" i="2"/>
  <c r="D355" i="2"/>
  <c r="H354" i="2"/>
  <c r="G354" i="2"/>
  <c r="F354" i="2"/>
  <c r="E354" i="2"/>
  <c r="D354" i="2"/>
  <c r="H353" i="2"/>
  <c r="G353" i="2"/>
  <c r="F353" i="2"/>
  <c r="E353" i="2"/>
  <c r="D353" i="2"/>
  <c r="H352" i="2"/>
  <c r="G352" i="2"/>
  <c r="F352" i="2"/>
  <c r="E352" i="2"/>
  <c r="D352" i="2"/>
  <c r="H425" i="2" l="1"/>
  <c r="G425" i="2"/>
  <c r="F425" i="2"/>
  <c r="E425" i="2"/>
  <c r="D425" i="2"/>
  <c r="H423" i="2"/>
  <c r="G423" i="2"/>
  <c r="F423" i="2"/>
  <c r="E423" i="2"/>
  <c r="D423" i="2"/>
  <c r="H422" i="2"/>
  <c r="G422" i="2"/>
  <c r="F422" i="2"/>
  <c r="E422" i="2"/>
  <c r="D422" i="2"/>
  <c r="H421" i="2"/>
  <c r="G421" i="2"/>
  <c r="F421" i="2"/>
  <c r="E421" i="2"/>
  <c r="D421" i="2"/>
  <c r="H420" i="2"/>
  <c r="G420" i="2"/>
  <c r="F420" i="2"/>
  <c r="E420" i="2"/>
  <c r="D420" i="2"/>
  <c r="H419" i="2"/>
  <c r="G419" i="2"/>
  <c r="F419" i="2"/>
  <c r="E419" i="2"/>
  <c r="D419" i="2"/>
  <c r="H418" i="2"/>
  <c r="G418" i="2"/>
  <c r="F418" i="2"/>
  <c r="E418" i="2"/>
  <c r="D418" i="2"/>
  <c r="H417" i="2"/>
  <c r="G417" i="2"/>
  <c r="F417" i="2"/>
  <c r="E417" i="2"/>
  <c r="D417" i="2"/>
  <c r="H416" i="2"/>
  <c r="G416" i="2"/>
  <c r="F416" i="2"/>
  <c r="E416" i="2"/>
  <c r="D416" i="2"/>
  <c r="H415" i="2"/>
  <c r="G415" i="2"/>
  <c r="F415" i="2"/>
  <c r="E415" i="2"/>
  <c r="D415" i="2"/>
  <c r="H414" i="2"/>
  <c r="G414" i="2"/>
  <c r="F414" i="2"/>
  <c r="E414" i="2"/>
  <c r="D414" i="2"/>
  <c r="H413" i="2"/>
  <c r="G413" i="2"/>
  <c r="F413" i="2"/>
  <c r="E413" i="2"/>
  <c r="D413" i="2"/>
  <c r="H412" i="2"/>
  <c r="G412" i="2"/>
  <c r="F412" i="2"/>
  <c r="E412" i="2"/>
  <c r="D412" i="2"/>
  <c r="H411" i="2"/>
  <c r="G411" i="2"/>
  <c r="F411" i="2"/>
  <c r="E411" i="2"/>
  <c r="D411" i="2"/>
  <c r="H410" i="2"/>
  <c r="G410" i="2"/>
  <c r="F410" i="2"/>
  <c r="E410" i="2"/>
  <c r="D410" i="2"/>
  <c r="H409" i="2"/>
  <c r="G409" i="2"/>
  <c r="F409" i="2"/>
  <c r="E409" i="2"/>
  <c r="D409" i="2"/>
  <c r="H408" i="2"/>
  <c r="G408" i="2"/>
  <c r="F408" i="2"/>
  <c r="E408" i="2"/>
  <c r="D408" i="2"/>
  <c r="H407" i="2"/>
  <c r="G407" i="2"/>
  <c r="F407" i="2"/>
  <c r="E407" i="2"/>
  <c r="D407" i="2"/>
  <c r="H406" i="2"/>
  <c r="G406" i="2"/>
  <c r="F406" i="2"/>
  <c r="E406" i="2"/>
  <c r="D406" i="2"/>
  <c r="H405" i="2"/>
  <c r="G405" i="2"/>
  <c r="F405" i="2"/>
  <c r="E405" i="2"/>
  <c r="D405" i="2"/>
  <c r="H404" i="2"/>
  <c r="G404" i="2"/>
  <c r="F404" i="2"/>
  <c r="E404" i="2"/>
  <c r="D404" i="2"/>
  <c r="H403" i="2"/>
  <c r="G403" i="2"/>
  <c r="F403" i="2"/>
  <c r="E403" i="2"/>
  <c r="D403" i="2"/>
  <c r="H402" i="2"/>
  <c r="G402" i="2"/>
  <c r="F402" i="2"/>
  <c r="E402" i="2"/>
  <c r="D402" i="2"/>
  <c r="H401" i="2"/>
  <c r="G401" i="2"/>
  <c r="F401" i="2"/>
  <c r="E401" i="2"/>
  <c r="D401" i="2"/>
  <c r="H400" i="2"/>
  <c r="G400" i="2"/>
  <c r="F400" i="2"/>
  <c r="E400" i="2"/>
  <c r="D400" i="2"/>
  <c r="H399" i="2"/>
  <c r="G399" i="2"/>
  <c r="F399" i="2"/>
  <c r="E399" i="2"/>
  <c r="D399" i="2"/>
  <c r="H398" i="2"/>
  <c r="G398" i="2"/>
  <c r="F398" i="2"/>
  <c r="E398" i="2"/>
  <c r="D398" i="2"/>
  <c r="H397" i="2"/>
  <c r="G397" i="2"/>
  <c r="F397" i="2"/>
  <c r="E397" i="2"/>
  <c r="D397" i="2"/>
  <c r="H396" i="2"/>
  <c r="G396" i="2"/>
  <c r="F396" i="2"/>
  <c r="E396" i="2"/>
  <c r="D396" i="2"/>
  <c r="H395" i="2"/>
  <c r="G395" i="2"/>
  <c r="F395" i="2"/>
  <c r="E395" i="2"/>
  <c r="D395" i="2"/>
  <c r="H468" i="2" l="1"/>
  <c r="G468" i="2"/>
  <c r="F468" i="2"/>
  <c r="E468" i="2"/>
  <c r="D468" i="2"/>
  <c r="H466" i="2"/>
  <c r="G466" i="2"/>
  <c r="F466" i="2"/>
  <c r="E466" i="2"/>
  <c r="D466" i="2"/>
  <c r="H465" i="2"/>
  <c r="G465" i="2"/>
  <c r="F465" i="2"/>
  <c r="E465" i="2"/>
  <c r="D465" i="2"/>
  <c r="H464" i="2"/>
  <c r="G464" i="2"/>
  <c r="F464" i="2"/>
  <c r="E464" i="2"/>
  <c r="D464" i="2"/>
  <c r="H463" i="2"/>
  <c r="G463" i="2"/>
  <c r="F463" i="2"/>
  <c r="E463" i="2"/>
  <c r="D463" i="2"/>
  <c r="H462" i="2"/>
  <c r="G462" i="2"/>
  <c r="F462" i="2"/>
  <c r="E462" i="2"/>
  <c r="D462" i="2"/>
  <c r="H461" i="2"/>
  <c r="G461" i="2"/>
  <c r="F461" i="2"/>
  <c r="E461" i="2"/>
  <c r="D461" i="2"/>
  <c r="H460" i="2"/>
  <c r="G460" i="2"/>
  <c r="F460" i="2"/>
  <c r="E460" i="2"/>
  <c r="D460" i="2"/>
  <c r="H459" i="2"/>
  <c r="G459" i="2"/>
  <c r="F459" i="2"/>
  <c r="E459" i="2"/>
  <c r="D459" i="2"/>
  <c r="H458" i="2"/>
  <c r="G458" i="2"/>
  <c r="F458" i="2"/>
  <c r="E458" i="2"/>
  <c r="D458" i="2"/>
  <c r="H457" i="2"/>
  <c r="G457" i="2"/>
  <c r="F457" i="2"/>
  <c r="E457" i="2"/>
  <c r="D457" i="2"/>
  <c r="H456" i="2"/>
  <c r="G456" i="2"/>
  <c r="F456" i="2"/>
  <c r="E456" i="2"/>
  <c r="D456" i="2"/>
  <c r="H455" i="2"/>
  <c r="G455" i="2"/>
  <c r="F455" i="2"/>
  <c r="E455" i="2"/>
  <c r="D455" i="2"/>
  <c r="H454" i="2"/>
  <c r="G454" i="2"/>
  <c r="F454" i="2"/>
  <c r="E454" i="2"/>
  <c r="H453" i="2"/>
  <c r="G453" i="2"/>
  <c r="F453" i="2"/>
  <c r="E453" i="2"/>
  <c r="D453" i="2"/>
  <c r="H452" i="2"/>
  <c r="G452" i="2"/>
  <c r="F452" i="2"/>
  <c r="E452" i="2"/>
  <c r="D452" i="2"/>
  <c r="H451" i="2"/>
  <c r="G451" i="2"/>
  <c r="F451" i="2"/>
  <c r="E451" i="2"/>
  <c r="D451" i="2"/>
  <c r="H450" i="2"/>
  <c r="G450" i="2"/>
  <c r="F450" i="2"/>
  <c r="E450" i="2"/>
  <c r="D450" i="2"/>
  <c r="H449" i="2"/>
  <c r="G449" i="2"/>
  <c r="F449" i="2"/>
  <c r="E449" i="2"/>
  <c r="D449" i="2"/>
  <c r="H448" i="2"/>
  <c r="G448" i="2"/>
  <c r="F448" i="2"/>
  <c r="E448" i="2"/>
  <c r="D448" i="2"/>
  <c r="H447" i="2"/>
  <c r="G447" i="2"/>
  <c r="F447" i="2"/>
  <c r="E447" i="2"/>
  <c r="D447" i="2"/>
  <c r="H446" i="2"/>
  <c r="G446" i="2"/>
  <c r="F446" i="2"/>
  <c r="E446" i="2"/>
  <c r="D446" i="2"/>
  <c r="H445" i="2"/>
  <c r="G445" i="2"/>
  <c r="F445" i="2"/>
  <c r="E445" i="2"/>
  <c r="D445" i="2"/>
  <c r="H444" i="2"/>
  <c r="G444" i="2"/>
  <c r="F444" i="2"/>
  <c r="E444" i="2"/>
  <c r="D444" i="2"/>
  <c r="H443" i="2"/>
  <c r="G443" i="2"/>
  <c r="F443" i="2"/>
  <c r="E443" i="2"/>
  <c r="D443" i="2"/>
  <c r="H442" i="2"/>
  <c r="G442" i="2"/>
  <c r="F442" i="2"/>
  <c r="E442" i="2"/>
  <c r="D442" i="2"/>
  <c r="H441" i="2"/>
  <c r="G441" i="2"/>
  <c r="F441" i="2"/>
  <c r="E441" i="2"/>
  <c r="D441" i="2"/>
  <c r="H440" i="2"/>
  <c r="G440" i="2"/>
  <c r="F440" i="2"/>
  <c r="E440" i="2"/>
  <c r="D440" i="2"/>
  <c r="H439" i="2"/>
  <c r="G439" i="2"/>
  <c r="F439" i="2"/>
  <c r="E439" i="2"/>
  <c r="D439" i="2"/>
  <c r="H438" i="2"/>
  <c r="G438" i="2"/>
  <c r="F438" i="2"/>
  <c r="E438" i="2"/>
  <c r="D438" i="2"/>
  <c r="H511" i="2" l="1"/>
  <c r="G511" i="2"/>
  <c r="F511" i="2"/>
  <c r="E511" i="2"/>
  <c r="D511" i="2"/>
  <c r="H509" i="2"/>
  <c r="G509" i="2"/>
  <c r="F509" i="2"/>
  <c r="E509" i="2"/>
  <c r="D509" i="2"/>
  <c r="H508" i="2"/>
  <c r="G508" i="2"/>
  <c r="F508" i="2"/>
  <c r="E508" i="2"/>
  <c r="D508" i="2"/>
  <c r="H507" i="2"/>
  <c r="G507" i="2"/>
  <c r="F507" i="2"/>
  <c r="E507" i="2"/>
  <c r="D507" i="2"/>
  <c r="H506" i="2"/>
  <c r="G506" i="2"/>
  <c r="F506" i="2"/>
  <c r="E506" i="2"/>
  <c r="D506" i="2"/>
  <c r="H505" i="2"/>
  <c r="G505" i="2"/>
  <c r="F505" i="2"/>
  <c r="E505" i="2"/>
  <c r="D505" i="2"/>
  <c r="H504" i="2"/>
  <c r="G504" i="2"/>
  <c r="F504" i="2"/>
  <c r="E504" i="2"/>
  <c r="D504" i="2"/>
  <c r="H503" i="2"/>
  <c r="G503" i="2"/>
  <c r="F503" i="2"/>
  <c r="E503" i="2"/>
  <c r="D503" i="2"/>
  <c r="H502" i="2"/>
  <c r="G502" i="2"/>
  <c r="F502" i="2"/>
  <c r="E502" i="2"/>
  <c r="D502" i="2"/>
  <c r="H501" i="2"/>
  <c r="G501" i="2"/>
  <c r="F501" i="2"/>
  <c r="E501" i="2"/>
  <c r="D501" i="2"/>
  <c r="H500" i="2"/>
  <c r="G500" i="2"/>
  <c r="F500" i="2"/>
  <c r="E500" i="2"/>
  <c r="D500" i="2"/>
  <c r="H499" i="2"/>
  <c r="G499" i="2"/>
  <c r="F499" i="2"/>
  <c r="E499" i="2"/>
  <c r="D499" i="2"/>
  <c r="H498" i="2"/>
  <c r="G498" i="2"/>
  <c r="F498" i="2"/>
  <c r="E498" i="2"/>
  <c r="D498" i="2"/>
  <c r="H497" i="2"/>
  <c r="G497" i="2"/>
  <c r="F497" i="2"/>
  <c r="E497" i="2"/>
  <c r="D497" i="2"/>
  <c r="H496" i="2"/>
  <c r="G496" i="2"/>
  <c r="F496" i="2"/>
  <c r="E496" i="2"/>
  <c r="D496" i="2"/>
  <c r="H495" i="2"/>
  <c r="G495" i="2"/>
  <c r="F495" i="2"/>
  <c r="E495" i="2"/>
  <c r="D495" i="2"/>
  <c r="H494" i="2"/>
  <c r="G494" i="2"/>
  <c r="F494" i="2"/>
  <c r="E494" i="2"/>
  <c r="D494" i="2"/>
  <c r="H493" i="2"/>
  <c r="G493" i="2"/>
  <c r="F493" i="2"/>
  <c r="E493" i="2"/>
  <c r="D493" i="2"/>
  <c r="H492" i="2"/>
  <c r="G492" i="2"/>
  <c r="F492" i="2"/>
  <c r="E492" i="2"/>
  <c r="D492" i="2"/>
  <c r="H491" i="2"/>
  <c r="G491" i="2"/>
  <c r="F491" i="2"/>
  <c r="E491" i="2"/>
  <c r="D491" i="2"/>
  <c r="H490" i="2"/>
  <c r="G490" i="2"/>
  <c r="F490" i="2"/>
  <c r="E490" i="2"/>
  <c r="D490" i="2"/>
  <c r="H489" i="2"/>
  <c r="G489" i="2"/>
  <c r="F489" i="2"/>
  <c r="E489" i="2"/>
  <c r="D489" i="2"/>
  <c r="H488" i="2"/>
  <c r="G488" i="2"/>
  <c r="F488" i="2"/>
  <c r="E488" i="2"/>
  <c r="D488" i="2"/>
  <c r="H487" i="2"/>
  <c r="G487" i="2"/>
  <c r="F487" i="2"/>
  <c r="E487" i="2"/>
  <c r="D487" i="2"/>
  <c r="H486" i="2"/>
  <c r="G486" i="2"/>
  <c r="F486" i="2"/>
  <c r="E486" i="2"/>
  <c r="D486" i="2"/>
  <c r="H485" i="2"/>
  <c r="G485" i="2"/>
  <c r="F485" i="2"/>
  <c r="E485" i="2"/>
  <c r="D485" i="2"/>
  <c r="H484" i="2"/>
  <c r="G484" i="2"/>
  <c r="F484" i="2"/>
  <c r="E484" i="2"/>
  <c r="D484" i="2"/>
  <c r="H483" i="2"/>
  <c r="G483" i="2"/>
  <c r="F483" i="2"/>
  <c r="E483" i="2"/>
  <c r="D483" i="2"/>
  <c r="H482" i="2"/>
  <c r="G482" i="2"/>
  <c r="F482" i="2"/>
  <c r="E482" i="2"/>
  <c r="D482" i="2"/>
  <c r="H481" i="2"/>
  <c r="G481" i="2"/>
  <c r="F481" i="2"/>
  <c r="E481" i="2"/>
  <c r="D481" i="2"/>
  <c r="H597" i="2" l="1"/>
  <c r="G597" i="2"/>
  <c r="F597" i="2"/>
  <c r="E597" i="2"/>
  <c r="D597" i="2"/>
  <c r="H595" i="2"/>
  <c r="G595" i="2"/>
  <c r="F595" i="2"/>
  <c r="E595" i="2"/>
  <c r="D595" i="2"/>
  <c r="H594" i="2"/>
  <c r="G594" i="2"/>
  <c r="F594" i="2"/>
  <c r="E594" i="2"/>
  <c r="D594" i="2"/>
  <c r="H593" i="2"/>
  <c r="G593" i="2"/>
  <c r="F593" i="2"/>
  <c r="E593" i="2"/>
  <c r="D593" i="2"/>
  <c r="H592" i="2"/>
  <c r="G592" i="2"/>
  <c r="F592" i="2"/>
  <c r="E592" i="2"/>
  <c r="D592" i="2"/>
  <c r="H591" i="2"/>
  <c r="G591" i="2"/>
  <c r="F591" i="2"/>
  <c r="E591" i="2"/>
  <c r="D591" i="2"/>
  <c r="H590" i="2"/>
  <c r="G590" i="2"/>
  <c r="F590" i="2"/>
  <c r="E590" i="2"/>
  <c r="D590" i="2"/>
  <c r="H589" i="2"/>
  <c r="G589" i="2"/>
  <c r="F589" i="2"/>
  <c r="E589" i="2"/>
  <c r="D589" i="2"/>
  <c r="H588" i="2"/>
  <c r="G588" i="2"/>
  <c r="F588" i="2"/>
  <c r="E588" i="2"/>
  <c r="D588" i="2"/>
  <c r="H587" i="2"/>
  <c r="G587" i="2"/>
  <c r="F587" i="2"/>
  <c r="E587" i="2"/>
  <c r="D587" i="2"/>
  <c r="H586" i="2"/>
  <c r="G586" i="2"/>
  <c r="F586" i="2"/>
  <c r="E586" i="2"/>
  <c r="D586" i="2"/>
  <c r="H585" i="2"/>
  <c r="G585" i="2"/>
  <c r="F585" i="2"/>
  <c r="E585" i="2"/>
  <c r="D585" i="2"/>
  <c r="H584" i="2"/>
  <c r="G584" i="2"/>
  <c r="F584" i="2"/>
  <c r="E584" i="2"/>
  <c r="D584" i="2"/>
  <c r="H583" i="2"/>
  <c r="G583" i="2"/>
  <c r="F583" i="2"/>
  <c r="E583" i="2"/>
  <c r="D583" i="2"/>
  <c r="H582" i="2"/>
  <c r="G582" i="2"/>
  <c r="F582" i="2"/>
  <c r="E582" i="2"/>
  <c r="D582" i="2"/>
  <c r="H581" i="2"/>
  <c r="G581" i="2"/>
  <c r="F581" i="2"/>
  <c r="E581" i="2"/>
  <c r="D581" i="2"/>
  <c r="H580" i="2"/>
  <c r="G580" i="2"/>
  <c r="F580" i="2"/>
  <c r="E580" i="2"/>
  <c r="D580" i="2"/>
  <c r="H579" i="2"/>
  <c r="G579" i="2"/>
  <c r="F579" i="2"/>
  <c r="E579" i="2"/>
  <c r="D579" i="2"/>
  <c r="H578" i="2"/>
  <c r="G578" i="2"/>
  <c r="F578" i="2"/>
  <c r="E578" i="2"/>
  <c r="D578" i="2"/>
  <c r="H577" i="2"/>
  <c r="G577" i="2"/>
  <c r="F577" i="2"/>
  <c r="E577" i="2"/>
  <c r="D577" i="2"/>
  <c r="H576" i="2"/>
  <c r="G576" i="2"/>
  <c r="F576" i="2"/>
  <c r="E576" i="2"/>
  <c r="D576" i="2"/>
  <c r="H575" i="2"/>
  <c r="G575" i="2"/>
  <c r="F575" i="2"/>
  <c r="E575" i="2"/>
  <c r="D575" i="2"/>
  <c r="H574" i="2"/>
  <c r="G574" i="2"/>
  <c r="F574" i="2"/>
  <c r="E574" i="2"/>
  <c r="D574" i="2"/>
  <c r="H573" i="2"/>
  <c r="G573" i="2"/>
  <c r="F573" i="2"/>
  <c r="E573" i="2"/>
  <c r="D573" i="2"/>
  <c r="H572" i="2"/>
  <c r="G572" i="2"/>
  <c r="F572" i="2"/>
  <c r="E572" i="2"/>
  <c r="D572" i="2"/>
  <c r="H571" i="2"/>
  <c r="G571" i="2"/>
  <c r="F571" i="2"/>
  <c r="E571" i="2"/>
  <c r="D571" i="2"/>
  <c r="H570" i="2"/>
  <c r="G570" i="2"/>
  <c r="F570" i="2"/>
  <c r="E570" i="2"/>
  <c r="D570" i="2"/>
  <c r="H569" i="2"/>
  <c r="G569" i="2"/>
  <c r="F569" i="2"/>
  <c r="E569" i="2"/>
  <c r="D569" i="2"/>
  <c r="H568" i="2"/>
  <c r="G568" i="2"/>
  <c r="F568" i="2"/>
  <c r="E568" i="2"/>
  <c r="D568" i="2"/>
  <c r="H567" i="2"/>
  <c r="G567" i="2"/>
  <c r="F567" i="2"/>
  <c r="E567" i="2"/>
  <c r="D567" i="2"/>
  <c r="H640" i="2" l="1"/>
  <c r="G640" i="2"/>
  <c r="F640" i="2"/>
  <c r="E640" i="2"/>
  <c r="D640" i="2"/>
  <c r="H638" i="2"/>
  <c r="G638" i="2"/>
  <c r="F638" i="2"/>
  <c r="E638" i="2"/>
  <c r="D638" i="2"/>
  <c r="H637" i="2"/>
  <c r="G637" i="2"/>
  <c r="F637" i="2"/>
  <c r="E637" i="2"/>
  <c r="D637" i="2"/>
  <c r="H636" i="2"/>
  <c r="G636" i="2"/>
  <c r="F636" i="2"/>
  <c r="E636" i="2"/>
  <c r="D636" i="2"/>
  <c r="H635" i="2"/>
  <c r="G635" i="2"/>
  <c r="F635" i="2"/>
  <c r="E635" i="2"/>
  <c r="D635" i="2"/>
  <c r="H634" i="2"/>
  <c r="G634" i="2"/>
  <c r="F634" i="2"/>
  <c r="E634" i="2"/>
  <c r="D634" i="2"/>
  <c r="H633" i="2"/>
  <c r="G633" i="2"/>
  <c r="F633" i="2"/>
  <c r="E633" i="2"/>
  <c r="D633" i="2"/>
  <c r="H632" i="2"/>
  <c r="G632" i="2"/>
  <c r="F632" i="2"/>
  <c r="E632" i="2"/>
  <c r="D632" i="2"/>
  <c r="H631" i="2"/>
  <c r="G631" i="2"/>
  <c r="F631" i="2"/>
  <c r="E631" i="2"/>
  <c r="D631" i="2"/>
  <c r="H630" i="2"/>
  <c r="G630" i="2"/>
  <c r="F630" i="2"/>
  <c r="E630" i="2"/>
  <c r="D630" i="2"/>
  <c r="H629" i="2"/>
  <c r="G629" i="2"/>
  <c r="F629" i="2"/>
  <c r="E629" i="2"/>
  <c r="D629" i="2"/>
  <c r="H628" i="2"/>
  <c r="G628" i="2"/>
  <c r="F628" i="2"/>
  <c r="E628" i="2"/>
  <c r="D628" i="2"/>
  <c r="H627" i="2"/>
  <c r="G627" i="2"/>
  <c r="F627" i="2"/>
  <c r="E627" i="2"/>
  <c r="D627" i="2"/>
  <c r="H626" i="2"/>
  <c r="G626" i="2"/>
  <c r="F626" i="2"/>
  <c r="E626" i="2"/>
  <c r="D626" i="2"/>
  <c r="H625" i="2"/>
  <c r="G625" i="2"/>
  <c r="F625" i="2"/>
  <c r="E625" i="2"/>
  <c r="D625" i="2"/>
  <c r="H624" i="2"/>
  <c r="G624" i="2"/>
  <c r="F624" i="2"/>
  <c r="E624" i="2"/>
  <c r="D624" i="2"/>
  <c r="H623" i="2"/>
  <c r="G623" i="2"/>
  <c r="F623" i="2"/>
  <c r="E623" i="2"/>
  <c r="D623" i="2"/>
  <c r="H622" i="2"/>
  <c r="G622" i="2"/>
  <c r="F622" i="2"/>
  <c r="E622" i="2"/>
  <c r="D622" i="2"/>
  <c r="H621" i="2"/>
  <c r="G621" i="2"/>
  <c r="F621" i="2"/>
  <c r="E621" i="2"/>
  <c r="D621" i="2"/>
  <c r="H620" i="2"/>
  <c r="G620" i="2"/>
  <c r="F620" i="2"/>
  <c r="E620" i="2"/>
  <c r="D620" i="2"/>
  <c r="H619" i="2"/>
  <c r="G619" i="2"/>
  <c r="F619" i="2"/>
  <c r="E619" i="2"/>
  <c r="D619" i="2"/>
  <c r="H618" i="2"/>
  <c r="G618" i="2"/>
  <c r="F618" i="2"/>
  <c r="E618" i="2"/>
  <c r="D618" i="2"/>
  <c r="H617" i="2"/>
  <c r="G617" i="2"/>
  <c r="F617" i="2"/>
  <c r="E617" i="2"/>
  <c r="D617" i="2"/>
  <c r="H616" i="2"/>
  <c r="G616" i="2"/>
  <c r="F616" i="2"/>
  <c r="E616" i="2"/>
  <c r="D616" i="2"/>
  <c r="H615" i="2"/>
  <c r="G615" i="2"/>
  <c r="F615" i="2"/>
  <c r="E615" i="2"/>
  <c r="D615" i="2"/>
  <c r="H614" i="2"/>
  <c r="G614" i="2"/>
  <c r="F614" i="2"/>
  <c r="E614" i="2"/>
  <c r="D614" i="2"/>
  <c r="H613" i="2"/>
  <c r="G613" i="2"/>
  <c r="F613" i="2"/>
  <c r="E613" i="2"/>
  <c r="D613" i="2"/>
  <c r="H612" i="2"/>
  <c r="G612" i="2"/>
  <c r="F612" i="2"/>
  <c r="E612" i="2"/>
  <c r="D612" i="2"/>
  <c r="H611" i="2"/>
  <c r="G611" i="2"/>
  <c r="F611" i="2"/>
  <c r="E611" i="2"/>
  <c r="D611" i="2"/>
  <c r="H610" i="2"/>
  <c r="G610" i="2"/>
  <c r="F610" i="2"/>
  <c r="E610" i="2"/>
  <c r="D610" i="2"/>
  <c r="H726" i="2" l="1"/>
  <c r="G726" i="2"/>
  <c r="F726" i="2"/>
  <c r="E726" i="2"/>
  <c r="D726" i="2"/>
  <c r="H724" i="2"/>
  <c r="G724" i="2"/>
  <c r="F724" i="2"/>
  <c r="E724" i="2"/>
  <c r="D724" i="2"/>
  <c r="H723" i="2"/>
  <c r="G723" i="2"/>
  <c r="F723" i="2"/>
  <c r="E723" i="2"/>
  <c r="D723" i="2"/>
  <c r="H722" i="2"/>
  <c r="G722" i="2"/>
  <c r="F722" i="2"/>
  <c r="E722" i="2"/>
  <c r="D722" i="2"/>
  <c r="H721" i="2"/>
  <c r="G721" i="2"/>
  <c r="F721" i="2"/>
  <c r="E721" i="2"/>
  <c r="D721" i="2"/>
  <c r="H720" i="2"/>
  <c r="G720" i="2"/>
  <c r="F720" i="2"/>
  <c r="E720" i="2"/>
  <c r="D720" i="2"/>
  <c r="H719" i="2"/>
  <c r="G719" i="2"/>
  <c r="F719" i="2"/>
  <c r="E719" i="2"/>
  <c r="D719" i="2"/>
  <c r="H718" i="2"/>
  <c r="G718" i="2"/>
  <c r="F718" i="2"/>
  <c r="E718" i="2"/>
  <c r="D718" i="2"/>
  <c r="H717" i="2"/>
  <c r="G717" i="2"/>
  <c r="F717" i="2"/>
  <c r="E717" i="2"/>
  <c r="D717" i="2"/>
  <c r="H716" i="2"/>
  <c r="G716" i="2"/>
  <c r="F716" i="2"/>
  <c r="E716" i="2"/>
  <c r="D716" i="2"/>
  <c r="H715" i="2"/>
  <c r="G715" i="2"/>
  <c r="F715" i="2"/>
  <c r="E715" i="2"/>
  <c r="D715" i="2"/>
  <c r="H714" i="2"/>
  <c r="G714" i="2"/>
  <c r="F714" i="2"/>
  <c r="E714" i="2"/>
  <c r="D714" i="2"/>
  <c r="H713" i="2"/>
  <c r="G713" i="2"/>
  <c r="F713" i="2"/>
  <c r="E713" i="2"/>
  <c r="D713" i="2"/>
  <c r="H712" i="2"/>
  <c r="G712" i="2"/>
  <c r="F712" i="2"/>
  <c r="E712" i="2"/>
  <c r="D712" i="2"/>
  <c r="H711" i="2"/>
  <c r="G711" i="2"/>
  <c r="F711" i="2"/>
  <c r="E711" i="2"/>
  <c r="D711" i="2"/>
  <c r="H710" i="2"/>
  <c r="G710" i="2"/>
  <c r="F710" i="2"/>
  <c r="E710" i="2"/>
  <c r="D710" i="2"/>
  <c r="H709" i="2"/>
  <c r="G709" i="2"/>
  <c r="F709" i="2"/>
  <c r="E709" i="2"/>
  <c r="D709" i="2"/>
  <c r="H708" i="2"/>
  <c r="G708" i="2"/>
  <c r="F708" i="2"/>
  <c r="E708" i="2"/>
  <c r="D708" i="2"/>
  <c r="H707" i="2"/>
  <c r="G707" i="2"/>
  <c r="F707" i="2"/>
  <c r="E707" i="2"/>
  <c r="D707" i="2"/>
  <c r="H706" i="2"/>
  <c r="G706" i="2"/>
  <c r="F706" i="2"/>
  <c r="E706" i="2"/>
  <c r="D706" i="2"/>
  <c r="H705" i="2"/>
  <c r="G705" i="2"/>
  <c r="F705" i="2"/>
  <c r="E705" i="2"/>
  <c r="D705" i="2"/>
  <c r="H704" i="2"/>
  <c r="G704" i="2"/>
  <c r="F704" i="2"/>
  <c r="E704" i="2"/>
  <c r="D704" i="2"/>
  <c r="H703" i="2"/>
  <c r="G703" i="2"/>
  <c r="F703" i="2"/>
  <c r="E703" i="2"/>
  <c r="D703" i="2"/>
  <c r="H702" i="2"/>
  <c r="G702" i="2"/>
  <c r="F702" i="2"/>
  <c r="E702" i="2"/>
  <c r="D702" i="2"/>
  <c r="H701" i="2"/>
  <c r="G701" i="2"/>
  <c r="F701" i="2"/>
  <c r="E701" i="2"/>
  <c r="D701" i="2"/>
  <c r="H700" i="2"/>
  <c r="G700" i="2"/>
  <c r="F700" i="2"/>
  <c r="E700" i="2"/>
  <c r="D700" i="2"/>
  <c r="H699" i="2"/>
  <c r="G699" i="2"/>
  <c r="F699" i="2"/>
  <c r="E699" i="2"/>
  <c r="D699" i="2"/>
  <c r="H698" i="2"/>
  <c r="G698" i="2"/>
  <c r="F698" i="2"/>
  <c r="E698" i="2"/>
  <c r="D698" i="2"/>
  <c r="H697" i="2"/>
  <c r="G697" i="2"/>
  <c r="F697" i="2"/>
  <c r="E697" i="2"/>
  <c r="D697" i="2"/>
  <c r="H696" i="2"/>
  <c r="G696" i="2"/>
  <c r="F696" i="2"/>
  <c r="E696" i="2"/>
  <c r="D696" i="2"/>
  <c r="H769" i="2" l="1"/>
  <c r="G769" i="2"/>
  <c r="F769" i="2"/>
  <c r="E769" i="2"/>
  <c r="D769" i="2"/>
  <c r="H767" i="2"/>
  <c r="G767" i="2"/>
  <c r="F767" i="2"/>
  <c r="E767" i="2"/>
  <c r="D767" i="2"/>
  <c r="H766" i="2"/>
  <c r="G766" i="2"/>
  <c r="F766" i="2"/>
  <c r="E766" i="2"/>
  <c r="D766" i="2"/>
  <c r="H765" i="2"/>
  <c r="G765" i="2"/>
  <c r="F765" i="2"/>
  <c r="E765" i="2"/>
  <c r="D765" i="2"/>
  <c r="H764" i="2"/>
  <c r="G764" i="2"/>
  <c r="F764" i="2"/>
  <c r="E764" i="2"/>
  <c r="D764" i="2"/>
  <c r="H763" i="2"/>
  <c r="G763" i="2"/>
  <c r="F763" i="2"/>
  <c r="E763" i="2"/>
  <c r="D763" i="2"/>
  <c r="H762" i="2"/>
  <c r="G762" i="2"/>
  <c r="F762" i="2"/>
  <c r="E762" i="2"/>
  <c r="D762" i="2"/>
  <c r="H761" i="2"/>
  <c r="G761" i="2"/>
  <c r="F761" i="2"/>
  <c r="E761" i="2"/>
  <c r="D761" i="2"/>
  <c r="H760" i="2"/>
  <c r="G760" i="2"/>
  <c r="F760" i="2"/>
  <c r="E760" i="2"/>
  <c r="D760" i="2"/>
  <c r="H759" i="2"/>
  <c r="G759" i="2"/>
  <c r="F759" i="2"/>
  <c r="E759" i="2"/>
  <c r="D759" i="2"/>
  <c r="H758" i="2"/>
  <c r="G758" i="2"/>
  <c r="F758" i="2"/>
  <c r="E758" i="2"/>
  <c r="D758" i="2"/>
  <c r="H757" i="2"/>
  <c r="G757" i="2"/>
  <c r="F757" i="2"/>
  <c r="E757" i="2"/>
  <c r="D757" i="2"/>
  <c r="H756" i="2"/>
  <c r="G756" i="2"/>
  <c r="F756" i="2"/>
  <c r="E756" i="2"/>
  <c r="D756" i="2"/>
  <c r="H755" i="2"/>
  <c r="G755" i="2"/>
  <c r="F755" i="2"/>
  <c r="E755" i="2"/>
  <c r="D755" i="2"/>
  <c r="H754" i="2"/>
  <c r="G754" i="2"/>
  <c r="F754" i="2"/>
  <c r="E754" i="2"/>
  <c r="D754" i="2"/>
  <c r="H753" i="2"/>
  <c r="G753" i="2"/>
  <c r="F753" i="2"/>
  <c r="E753" i="2"/>
  <c r="D753" i="2"/>
  <c r="H752" i="2"/>
  <c r="G752" i="2"/>
  <c r="F752" i="2"/>
  <c r="E752" i="2"/>
  <c r="D752" i="2"/>
  <c r="H751" i="2"/>
  <c r="G751" i="2"/>
  <c r="F751" i="2"/>
  <c r="E751" i="2"/>
  <c r="D751" i="2"/>
  <c r="H750" i="2"/>
  <c r="G750" i="2"/>
  <c r="F750" i="2"/>
  <c r="E750" i="2"/>
  <c r="D750" i="2"/>
  <c r="H749" i="2"/>
  <c r="G749" i="2"/>
  <c r="F749" i="2"/>
  <c r="E749" i="2"/>
  <c r="D749" i="2"/>
  <c r="H748" i="2"/>
  <c r="G748" i="2"/>
  <c r="F748" i="2"/>
  <c r="E748" i="2"/>
  <c r="D748" i="2"/>
  <c r="H747" i="2"/>
  <c r="G747" i="2"/>
  <c r="F747" i="2"/>
  <c r="E747" i="2"/>
  <c r="D747" i="2"/>
  <c r="H746" i="2"/>
  <c r="G746" i="2"/>
  <c r="F746" i="2"/>
  <c r="E746" i="2"/>
  <c r="D746" i="2"/>
  <c r="H745" i="2"/>
  <c r="G745" i="2"/>
  <c r="F745" i="2"/>
  <c r="E745" i="2"/>
  <c r="D745" i="2"/>
  <c r="H744" i="2"/>
  <c r="G744" i="2"/>
  <c r="F744" i="2"/>
  <c r="E744" i="2"/>
  <c r="D744" i="2"/>
  <c r="H743" i="2"/>
  <c r="G743" i="2"/>
  <c r="F743" i="2"/>
  <c r="E743" i="2"/>
  <c r="D743" i="2"/>
  <c r="H742" i="2"/>
  <c r="G742" i="2"/>
  <c r="F742" i="2"/>
  <c r="E742" i="2"/>
  <c r="D742" i="2"/>
  <c r="H741" i="2"/>
  <c r="G741" i="2"/>
  <c r="F741" i="2"/>
  <c r="E741" i="2"/>
  <c r="D741" i="2"/>
  <c r="H740" i="2"/>
  <c r="G740" i="2"/>
  <c r="F740" i="2"/>
  <c r="E740" i="2"/>
  <c r="D740" i="2"/>
  <c r="H739" i="2"/>
  <c r="G739" i="2"/>
  <c r="F739" i="2"/>
  <c r="E739" i="2"/>
  <c r="D739" i="2"/>
  <c r="H812" i="2" l="1"/>
  <c r="G812" i="2"/>
  <c r="F812" i="2"/>
  <c r="E812" i="2"/>
  <c r="D812" i="2"/>
  <c r="H810" i="2"/>
  <c r="G810" i="2"/>
  <c r="F810" i="2"/>
  <c r="E810" i="2"/>
  <c r="D810" i="2"/>
  <c r="H809" i="2"/>
  <c r="G809" i="2"/>
  <c r="F809" i="2"/>
  <c r="E809" i="2"/>
  <c r="D809" i="2"/>
  <c r="H808" i="2"/>
  <c r="G808" i="2"/>
  <c r="F808" i="2"/>
  <c r="E808" i="2"/>
  <c r="D808" i="2"/>
  <c r="H807" i="2"/>
  <c r="G807" i="2"/>
  <c r="F807" i="2"/>
  <c r="E807" i="2"/>
  <c r="D807" i="2"/>
  <c r="H806" i="2"/>
  <c r="G806" i="2"/>
  <c r="F806" i="2"/>
  <c r="E806" i="2"/>
  <c r="D806" i="2"/>
  <c r="H805" i="2"/>
  <c r="G805" i="2"/>
  <c r="F805" i="2"/>
  <c r="E805" i="2"/>
  <c r="D805" i="2"/>
  <c r="H804" i="2"/>
  <c r="G804" i="2"/>
  <c r="F804" i="2"/>
  <c r="E804" i="2"/>
  <c r="D804" i="2"/>
  <c r="H803" i="2"/>
  <c r="G803" i="2"/>
  <c r="F803" i="2"/>
  <c r="E803" i="2"/>
  <c r="D803" i="2"/>
  <c r="H802" i="2"/>
  <c r="G802" i="2"/>
  <c r="F802" i="2"/>
  <c r="E802" i="2"/>
  <c r="D802" i="2"/>
  <c r="H801" i="2"/>
  <c r="G801" i="2"/>
  <c r="F801" i="2"/>
  <c r="E801" i="2"/>
  <c r="D801" i="2"/>
  <c r="H800" i="2"/>
  <c r="G800" i="2"/>
  <c r="F800" i="2"/>
  <c r="E800" i="2"/>
  <c r="D800" i="2"/>
  <c r="H799" i="2"/>
  <c r="G799" i="2"/>
  <c r="F799" i="2"/>
  <c r="E799" i="2"/>
  <c r="D799" i="2"/>
  <c r="H798" i="2"/>
  <c r="G798" i="2"/>
  <c r="F798" i="2"/>
  <c r="E798" i="2"/>
  <c r="D798" i="2"/>
  <c r="H797" i="2"/>
  <c r="G797" i="2"/>
  <c r="F797" i="2"/>
  <c r="E797" i="2"/>
  <c r="D797" i="2"/>
  <c r="H796" i="2"/>
  <c r="G796" i="2"/>
  <c r="F796" i="2"/>
  <c r="E796" i="2"/>
  <c r="D796" i="2"/>
  <c r="H795" i="2"/>
  <c r="G795" i="2"/>
  <c r="F795" i="2"/>
  <c r="E795" i="2"/>
  <c r="D795" i="2"/>
  <c r="H794" i="2"/>
  <c r="G794" i="2"/>
  <c r="F794" i="2"/>
  <c r="E794" i="2"/>
  <c r="D794" i="2"/>
  <c r="H793" i="2"/>
  <c r="G793" i="2"/>
  <c r="F793" i="2"/>
  <c r="E793" i="2"/>
  <c r="D793" i="2"/>
  <c r="H792" i="2"/>
  <c r="G792" i="2"/>
  <c r="F792" i="2"/>
  <c r="E792" i="2"/>
  <c r="D792" i="2"/>
  <c r="H791" i="2"/>
  <c r="G791" i="2"/>
  <c r="F791" i="2"/>
  <c r="E791" i="2"/>
  <c r="D791" i="2"/>
  <c r="H790" i="2"/>
  <c r="G790" i="2"/>
  <c r="F790" i="2"/>
  <c r="E790" i="2"/>
  <c r="D790" i="2"/>
  <c r="H789" i="2"/>
  <c r="G789" i="2"/>
  <c r="F789" i="2"/>
  <c r="E789" i="2"/>
  <c r="D789" i="2"/>
  <c r="H788" i="2"/>
  <c r="G788" i="2"/>
  <c r="F788" i="2"/>
  <c r="E788" i="2"/>
  <c r="D788" i="2"/>
  <c r="H787" i="2"/>
  <c r="G787" i="2"/>
  <c r="F787" i="2"/>
  <c r="E787" i="2"/>
  <c r="D787" i="2"/>
  <c r="H786" i="2"/>
  <c r="G786" i="2"/>
  <c r="F786" i="2"/>
  <c r="E786" i="2"/>
  <c r="D786" i="2"/>
  <c r="H785" i="2"/>
  <c r="G785" i="2"/>
  <c r="F785" i="2"/>
  <c r="E785" i="2"/>
  <c r="D785" i="2"/>
  <c r="H784" i="2"/>
  <c r="G784" i="2"/>
  <c r="F784" i="2"/>
  <c r="E784" i="2"/>
  <c r="D784" i="2"/>
  <c r="H783" i="2"/>
  <c r="G783" i="2"/>
  <c r="F783" i="2"/>
  <c r="E783" i="2"/>
  <c r="D783" i="2"/>
  <c r="H782" i="2"/>
  <c r="G782" i="2"/>
  <c r="F782" i="2"/>
  <c r="E782" i="2"/>
  <c r="D782" i="2"/>
  <c r="H855" i="2" l="1"/>
  <c r="G855" i="2"/>
  <c r="F855" i="2"/>
  <c r="E855" i="2"/>
  <c r="D855" i="2"/>
  <c r="H853" i="2"/>
  <c r="G853" i="2"/>
  <c r="F853" i="2"/>
  <c r="E853" i="2"/>
  <c r="D853" i="2"/>
  <c r="H852" i="2"/>
  <c r="G852" i="2"/>
  <c r="F852" i="2"/>
  <c r="E852" i="2"/>
  <c r="D852" i="2"/>
  <c r="H851" i="2"/>
  <c r="G851" i="2"/>
  <c r="F851" i="2"/>
  <c r="E851" i="2"/>
  <c r="D851" i="2"/>
  <c r="H850" i="2"/>
  <c r="G850" i="2"/>
  <c r="F850" i="2"/>
  <c r="E850" i="2"/>
  <c r="D850" i="2"/>
  <c r="H849" i="2"/>
  <c r="G849" i="2"/>
  <c r="F849" i="2"/>
  <c r="E849" i="2"/>
  <c r="D849" i="2"/>
  <c r="H848" i="2"/>
  <c r="G848" i="2"/>
  <c r="F848" i="2"/>
  <c r="E848" i="2"/>
  <c r="D848" i="2"/>
  <c r="H847" i="2"/>
  <c r="G847" i="2"/>
  <c r="F847" i="2"/>
  <c r="E847" i="2"/>
  <c r="D847" i="2"/>
  <c r="H846" i="2"/>
  <c r="G846" i="2"/>
  <c r="F846" i="2"/>
  <c r="E846" i="2"/>
  <c r="D846" i="2"/>
  <c r="H845" i="2"/>
  <c r="G845" i="2"/>
  <c r="F845" i="2"/>
  <c r="E845" i="2"/>
  <c r="D845" i="2"/>
  <c r="H844" i="2"/>
  <c r="G844" i="2"/>
  <c r="F844" i="2"/>
  <c r="E844" i="2"/>
  <c r="D844" i="2"/>
  <c r="H843" i="2"/>
  <c r="G843" i="2"/>
  <c r="F843" i="2"/>
  <c r="E843" i="2"/>
  <c r="D843" i="2"/>
  <c r="H842" i="2"/>
  <c r="G842" i="2"/>
  <c r="F842" i="2"/>
  <c r="E842" i="2"/>
  <c r="D842" i="2"/>
  <c r="H841" i="2"/>
  <c r="G841" i="2"/>
  <c r="F841" i="2"/>
  <c r="E841" i="2"/>
  <c r="D841" i="2"/>
  <c r="H840" i="2"/>
  <c r="G840" i="2"/>
  <c r="F840" i="2"/>
  <c r="E840" i="2"/>
  <c r="D840" i="2"/>
  <c r="H839" i="2"/>
  <c r="G839" i="2"/>
  <c r="F839" i="2"/>
  <c r="E839" i="2"/>
  <c r="D839" i="2"/>
  <c r="H838" i="2"/>
  <c r="G838" i="2"/>
  <c r="F838" i="2"/>
  <c r="E838" i="2"/>
  <c r="D838" i="2"/>
  <c r="H837" i="2"/>
  <c r="G837" i="2"/>
  <c r="F837" i="2"/>
  <c r="E837" i="2"/>
  <c r="D837" i="2"/>
  <c r="H836" i="2"/>
  <c r="G836" i="2"/>
  <c r="F836" i="2"/>
  <c r="E836" i="2"/>
  <c r="D836" i="2"/>
  <c r="H835" i="2"/>
  <c r="G835" i="2"/>
  <c r="F835" i="2"/>
  <c r="E835" i="2"/>
  <c r="D835" i="2"/>
  <c r="H834" i="2"/>
  <c r="G834" i="2"/>
  <c r="F834" i="2"/>
  <c r="E834" i="2"/>
  <c r="D834" i="2"/>
  <c r="H833" i="2"/>
  <c r="G833" i="2"/>
  <c r="F833" i="2"/>
  <c r="E833" i="2"/>
  <c r="D833" i="2"/>
  <c r="H832" i="2"/>
  <c r="G832" i="2"/>
  <c r="F832" i="2"/>
  <c r="E832" i="2"/>
  <c r="D832" i="2"/>
  <c r="H831" i="2"/>
  <c r="G831" i="2"/>
  <c r="F831" i="2"/>
  <c r="E831" i="2"/>
  <c r="D831" i="2"/>
  <c r="H830" i="2"/>
  <c r="G830" i="2"/>
  <c r="F830" i="2"/>
  <c r="E830" i="2"/>
  <c r="D830" i="2"/>
  <c r="H829" i="2"/>
  <c r="G829" i="2"/>
  <c r="F829" i="2"/>
  <c r="E829" i="2"/>
  <c r="D829" i="2"/>
  <c r="H828" i="2"/>
  <c r="G828" i="2"/>
  <c r="F828" i="2"/>
  <c r="E828" i="2"/>
  <c r="D828" i="2"/>
  <c r="H827" i="2"/>
  <c r="G827" i="2"/>
  <c r="F827" i="2"/>
  <c r="E827" i="2"/>
  <c r="D827" i="2"/>
  <c r="H826" i="2"/>
  <c r="G826" i="2"/>
  <c r="F826" i="2"/>
  <c r="E826" i="2"/>
  <c r="D826" i="2"/>
  <c r="H825" i="2"/>
  <c r="G825" i="2"/>
  <c r="F825" i="2"/>
  <c r="E825" i="2"/>
  <c r="D825" i="2"/>
  <c r="H898" i="2" l="1"/>
  <c r="G898" i="2"/>
  <c r="F898" i="2"/>
  <c r="E898" i="2"/>
  <c r="D898" i="2"/>
  <c r="H896" i="2"/>
  <c r="G896" i="2"/>
  <c r="F896" i="2"/>
  <c r="E896" i="2"/>
  <c r="D896" i="2"/>
  <c r="H895" i="2"/>
  <c r="G895" i="2"/>
  <c r="F895" i="2"/>
  <c r="E895" i="2"/>
  <c r="D895" i="2"/>
  <c r="H894" i="2"/>
  <c r="G894" i="2"/>
  <c r="F894" i="2"/>
  <c r="E894" i="2"/>
  <c r="D894" i="2"/>
  <c r="H893" i="2"/>
  <c r="G893" i="2"/>
  <c r="F893" i="2"/>
  <c r="E893" i="2"/>
  <c r="D893" i="2"/>
  <c r="H892" i="2"/>
  <c r="G892" i="2"/>
  <c r="F892" i="2"/>
  <c r="E892" i="2"/>
  <c r="D892" i="2"/>
  <c r="H891" i="2"/>
  <c r="G891" i="2"/>
  <c r="F891" i="2"/>
  <c r="E891" i="2"/>
  <c r="D891" i="2"/>
  <c r="H890" i="2"/>
  <c r="G890" i="2"/>
  <c r="F890" i="2"/>
  <c r="E890" i="2"/>
  <c r="D890" i="2"/>
  <c r="H889" i="2"/>
  <c r="G889" i="2"/>
  <c r="F889" i="2"/>
  <c r="E889" i="2"/>
  <c r="D889" i="2"/>
  <c r="H888" i="2"/>
  <c r="G888" i="2"/>
  <c r="F888" i="2"/>
  <c r="E888" i="2"/>
  <c r="D888" i="2"/>
  <c r="H887" i="2"/>
  <c r="G887" i="2"/>
  <c r="F887" i="2"/>
  <c r="E887" i="2"/>
  <c r="D887" i="2"/>
  <c r="H886" i="2"/>
  <c r="G886" i="2"/>
  <c r="F886" i="2"/>
  <c r="E886" i="2"/>
  <c r="D886" i="2"/>
  <c r="H885" i="2"/>
  <c r="G885" i="2"/>
  <c r="F885" i="2"/>
  <c r="E885" i="2"/>
  <c r="D885" i="2"/>
  <c r="H884" i="2"/>
  <c r="G884" i="2"/>
  <c r="F884" i="2"/>
  <c r="E884" i="2"/>
  <c r="D884" i="2"/>
  <c r="H883" i="2"/>
  <c r="G883" i="2"/>
  <c r="F883" i="2"/>
  <c r="E883" i="2"/>
  <c r="D883" i="2"/>
  <c r="H882" i="2"/>
  <c r="G882" i="2"/>
  <c r="F882" i="2"/>
  <c r="E882" i="2"/>
  <c r="D882" i="2"/>
  <c r="H881" i="2"/>
  <c r="G881" i="2"/>
  <c r="F881" i="2"/>
  <c r="E881" i="2"/>
  <c r="D881" i="2"/>
  <c r="H880" i="2"/>
  <c r="G880" i="2"/>
  <c r="F880" i="2"/>
  <c r="E880" i="2"/>
  <c r="D880" i="2"/>
  <c r="H879" i="2"/>
  <c r="G879" i="2"/>
  <c r="F879" i="2"/>
  <c r="E879" i="2"/>
  <c r="D879" i="2"/>
  <c r="H878" i="2"/>
  <c r="G878" i="2"/>
  <c r="F878" i="2"/>
  <c r="E878" i="2"/>
  <c r="D878" i="2"/>
  <c r="H877" i="2"/>
  <c r="G877" i="2"/>
  <c r="F877" i="2"/>
  <c r="E877" i="2"/>
  <c r="D877" i="2"/>
  <c r="H876" i="2"/>
  <c r="G876" i="2"/>
  <c r="F876" i="2"/>
  <c r="E876" i="2"/>
  <c r="D876" i="2"/>
  <c r="H875" i="2"/>
  <c r="G875" i="2"/>
  <c r="F875" i="2"/>
  <c r="E875" i="2"/>
  <c r="D875" i="2"/>
  <c r="H874" i="2"/>
  <c r="G874" i="2"/>
  <c r="F874" i="2"/>
  <c r="E874" i="2"/>
  <c r="D874" i="2"/>
  <c r="H873" i="2"/>
  <c r="G873" i="2"/>
  <c r="F873" i="2"/>
  <c r="E873" i="2"/>
  <c r="D873" i="2"/>
  <c r="H872" i="2"/>
  <c r="G872" i="2"/>
  <c r="F872" i="2"/>
  <c r="E872" i="2"/>
  <c r="D872" i="2"/>
  <c r="H871" i="2"/>
  <c r="G871" i="2"/>
  <c r="F871" i="2"/>
  <c r="E871" i="2"/>
  <c r="D871" i="2"/>
  <c r="H870" i="2"/>
  <c r="G870" i="2"/>
  <c r="F870" i="2"/>
  <c r="E870" i="2"/>
  <c r="D870" i="2"/>
  <c r="H869" i="2"/>
  <c r="G869" i="2"/>
  <c r="F869" i="2"/>
  <c r="E869" i="2"/>
  <c r="D869" i="2"/>
  <c r="H868" i="2"/>
  <c r="G868" i="2"/>
  <c r="F868" i="2"/>
  <c r="E868" i="2"/>
  <c r="D868" i="2"/>
  <c r="H941" i="2" l="1"/>
  <c r="G941" i="2"/>
  <c r="F941" i="2"/>
  <c r="E941" i="2"/>
  <c r="D941" i="2"/>
  <c r="H939" i="2"/>
  <c r="G939" i="2"/>
  <c r="F939" i="2"/>
  <c r="E939" i="2"/>
  <c r="D939" i="2"/>
  <c r="H938" i="2"/>
  <c r="G938" i="2"/>
  <c r="F938" i="2"/>
  <c r="E938" i="2"/>
  <c r="D938" i="2"/>
  <c r="H937" i="2"/>
  <c r="G937" i="2"/>
  <c r="F937" i="2"/>
  <c r="E937" i="2"/>
  <c r="D937" i="2"/>
  <c r="H936" i="2"/>
  <c r="G936" i="2"/>
  <c r="F936" i="2"/>
  <c r="E936" i="2"/>
  <c r="D936" i="2"/>
  <c r="H935" i="2"/>
  <c r="G935" i="2"/>
  <c r="F935" i="2"/>
  <c r="E935" i="2"/>
  <c r="D935" i="2"/>
  <c r="H934" i="2"/>
  <c r="G934" i="2"/>
  <c r="F934" i="2"/>
  <c r="E934" i="2"/>
  <c r="D934" i="2"/>
  <c r="H933" i="2"/>
  <c r="G933" i="2"/>
  <c r="F933" i="2"/>
  <c r="E933" i="2"/>
  <c r="D933" i="2"/>
  <c r="H932" i="2"/>
  <c r="G932" i="2"/>
  <c r="F932" i="2"/>
  <c r="E932" i="2"/>
  <c r="D932" i="2"/>
  <c r="H931" i="2"/>
  <c r="G931" i="2"/>
  <c r="F931" i="2"/>
  <c r="E931" i="2"/>
  <c r="D931" i="2"/>
  <c r="H930" i="2"/>
  <c r="G930" i="2"/>
  <c r="F930" i="2"/>
  <c r="E930" i="2"/>
  <c r="D930" i="2"/>
  <c r="H929" i="2"/>
  <c r="G929" i="2"/>
  <c r="F929" i="2"/>
  <c r="E929" i="2"/>
  <c r="D929" i="2"/>
  <c r="H928" i="2"/>
  <c r="G928" i="2"/>
  <c r="F928" i="2"/>
  <c r="E928" i="2"/>
  <c r="D928" i="2"/>
  <c r="H927" i="2"/>
  <c r="G927" i="2"/>
  <c r="F927" i="2"/>
  <c r="E927" i="2"/>
  <c r="D927" i="2"/>
  <c r="H926" i="2"/>
  <c r="G926" i="2"/>
  <c r="F926" i="2"/>
  <c r="E926" i="2"/>
  <c r="D926" i="2"/>
  <c r="H925" i="2"/>
  <c r="G925" i="2"/>
  <c r="F925" i="2"/>
  <c r="E925" i="2"/>
  <c r="D925" i="2"/>
  <c r="H924" i="2"/>
  <c r="G924" i="2"/>
  <c r="F924" i="2"/>
  <c r="E924" i="2"/>
  <c r="D924" i="2"/>
  <c r="H923" i="2"/>
  <c r="G923" i="2"/>
  <c r="F923" i="2"/>
  <c r="E923" i="2"/>
  <c r="D923" i="2"/>
  <c r="H922" i="2"/>
  <c r="G922" i="2"/>
  <c r="F922" i="2"/>
  <c r="E922" i="2"/>
  <c r="D922" i="2"/>
  <c r="H921" i="2"/>
  <c r="G921" i="2"/>
  <c r="F921" i="2"/>
  <c r="E921" i="2"/>
  <c r="D921" i="2"/>
  <c r="H920" i="2"/>
  <c r="G920" i="2"/>
  <c r="F920" i="2"/>
  <c r="E920" i="2"/>
  <c r="D920" i="2"/>
  <c r="H919" i="2"/>
  <c r="G919" i="2"/>
  <c r="F919" i="2"/>
  <c r="E919" i="2"/>
  <c r="D919" i="2"/>
  <c r="H918" i="2"/>
  <c r="G918" i="2"/>
  <c r="F918" i="2"/>
  <c r="E918" i="2"/>
  <c r="D918" i="2"/>
  <c r="H917" i="2"/>
  <c r="G917" i="2"/>
  <c r="F917" i="2"/>
  <c r="E917" i="2"/>
  <c r="D917" i="2"/>
  <c r="H916" i="2"/>
  <c r="G916" i="2"/>
  <c r="F916" i="2"/>
  <c r="E916" i="2"/>
  <c r="D916" i="2"/>
  <c r="H915" i="2"/>
  <c r="G915" i="2"/>
  <c r="F915" i="2"/>
  <c r="E915" i="2"/>
  <c r="D915" i="2"/>
  <c r="H914" i="2"/>
  <c r="G914" i="2"/>
  <c r="F914" i="2"/>
  <c r="E914" i="2"/>
  <c r="D914" i="2"/>
  <c r="H913" i="2"/>
  <c r="G913" i="2"/>
  <c r="F913" i="2"/>
  <c r="E913" i="2"/>
  <c r="D913" i="2"/>
  <c r="H912" i="2"/>
  <c r="G912" i="2"/>
  <c r="F912" i="2"/>
  <c r="E912" i="2"/>
  <c r="D912" i="2"/>
  <c r="H911" i="2"/>
  <c r="G911" i="2"/>
  <c r="F911" i="2"/>
  <c r="E911" i="2"/>
  <c r="D911" i="2"/>
  <c r="H984" i="2" l="1"/>
  <c r="G984" i="2"/>
  <c r="F984" i="2"/>
  <c r="E984" i="2"/>
  <c r="D984" i="2"/>
  <c r="H982" i="2"/>
  <c r="G982" i="2"/>
  <c r="F982" i="2"/>
  <c r="E982" i="2"/>
  <c r="D982" i="2"/>
  <c r="H981" i="2"/>
  <c r="G981" i="2"/>
  <c r="F981" i="2"/>
  <c r="E981" i="2"/>
  <c r="D981" i="2"/>
  <c r="H980" i="2"/>
  <c r="G980" i="2"/>
  <c r="F980" i="2"/>
  <c r="E980" i="2"/>
  <c r="D980" i="2"/>
  <c r="H979" i="2"/>
  <c r="G979" i="2"/>
  <c r="F979" i="2"/>
  <c r="E979" i="2"/>
  <c r="D979" i="2"/>
  <c r="H978" i="2"/>
  <c r="G978" i="2"/>
  <c r="F978" i="2"/>
  <c r="E978" i="2"/>
  <c r="D978" i="2"/>
  <c r="H977" i="2"/>
  <c r="G977" i="2"/>
  <c r="F977" i="2"/>
  <c r="E977" i="2"/>
  <c r="D977" i="2"/>
  <c r="H976" i="2"/>
  <c r="G976" i="2"/>
  <c r="F976" i="2"/>
  <c r="E976" i="2"/>
  <c r="D976" i="2"/>
  <c r="H975" i="2"/>
  <c r="G975" i="2"/>
  <c r="F975" i="2"/>
  <c r="E975" i="2"/>
  <c r="D975" i="2"/>
  <c r="H974" i="2"/>
  <c r="G974" i="2"/>
  <c r="F974" i="2"/>
  <c r="E974" i="2"/>
  <c r="D974" i="2"/>
  <c r="H973" i="2"/>
  <c r="G973" i="2"/>
  <c r="F973" i="2"/>
  <c r="E973" i="2"/>
  <c r="D973" i="2"/>
  <c r="H972" i="2"/>
  <c r="G972" i="2"/>
  <c r="F972" i="2"/>
  <c r="E972" i="2"/>
  <c r="D972" i="2"/>
  <c r="H971" i="2"/>
  <c r="G971" i="2"/>
  <c r="F971" i="2"/>
  <c r="E971" i="2"/>
  <c r="D971" i="2"/>
  <c r="H970" i="2"/>
  <c r="G970" i="2"/>
  <c r="F970" i="2"/>
  <c r="E970" i="2"/>
  <c r="D970" i="2"/>
  <c r="H969" i="2"/>
  <c r="G969" i="2"/>
  <c r="F969" i="2"/>
  <c r="E969" i="2"/>
  <c r="D969" i="2"/>
  <c r="H968" i="2"/>
  <c r="G968" i="2"/>
  <c r="F968" i="2"/>
  <c r="E968" i="2"/>
  <c r="D968" i="2"/>
  <c r="H967" i="2"/>
  <c r="G967" i="2"/>
  <c r="F967" i="2"/>
  <c r="E967" i="2"/>
  <c r="D967" i="2"/>
  <c r="H966" i="2"/>
  <c r="G966" i="2"/>
  <c r="F966" i="2"/>
  <c r="E966" i="2"/>
  <c r="D966" i="2"/>
  <c r="H965" i="2"/>
  <c r="G965" i="2"/>
  <c r="F965" i="2"/>
  <c r="E965" i="2"/>
  <c r="D965" i="2"/>
  <c r="H964" i="2"/>
  <c r="G964" i="2"/>
  <c r="F964" i="2"/>
  <c r="E964" i="2"/>
  <c r="D964" i="2"/>
  <c r="H963" i="2"/>
  <c r="G963" i="2"/>
  <c r="F963" i="2"/>
  <c r="E963" i="2"/>
  <c r="D963" i="2"/>
  <c r="H962" i="2"/>
  <c r="G962" i="2"/>
  <c r="F962" i="2"/>
  <c r="E962" i="2"/>
  <c r="D962" i="2"/>
  <c r="H961" i="2"/>
  <c r="G961" i="2"/>
  <c r="F961" i="2"/>
  <c r="E961" i="2"/>
  <c r="D961" i="2"/>
  <c r="H960" i="2"/>
  <c r="G960" i="2"/>
  <c r="F960" i="2"/>
  <c r="E960" i="2"/>
  <c r="D960" i="2"/>
  <c r="H959" i="2"/>
  <c r="G959" i="2"/>
  <c r="F959" i="2"/>
  <c r="E959" i="2"/>
  <c r="D959" i="2"/>
  <c r="H958" i="2"/>
  <c r="G958" i="2"/>
  <c r="F958" i="2"/>
  <c r="E958" i="2"/>
  <c r="D958" i="2"/>
  <c r="H957" i="2"/>
  <c r="G957" i="2"/>
  <c r="F957" i="2"/>
  <c r="E957" i="2"/>
  <c r="D957" i="2"/>
  <c r="H956" i="2"/>
  <c r="G956" i="2"/>
  <c r="F956" i="2"/>
  <c r="E956" i="2"/>
  <c r="D956" i="2"/>
  <c r="H955" i="2"/>
  <c r="G955" i="2"/>
  <c r="F955" i="2"/>
  <c r="E955" i="2"/>
  <c r="D955" i="2"/>
  <c r="H954" i="2"/>
  <c r="G954" i="2"/>
  <c r="F954" i="2"/>
  <c r="E954" i="2"/>
  <c r="D954" i="2"/>
  <c r="H1027" i="2" l="1"/>
  <c r="G1027" i="2"/>
  <c r="F1027" i="2"/>
  <c r="E1027" i="2"/>
  <c r="D1027" i="2"/>
  <c r="H1025" i="2"/>
  <c r="G1025" i="2"/>
  <c r="F1025" i="2"/>
  <c r="E1025" i="2"/>
  <c r="D1025" i="2"/>
  <c r="H1024" i="2"/>
  <c r="G1024" i="2"/>
  <c r="F1024" i="2"/>
  <c r="E1024" i="2"/>
  <c r="D1024" i="2"/>
  <c r="H1023" i="2"/>
  <c r="G1023" i="2"/>
  <c r="F1023" i="2"/>
  <c r="E1023" i="2"/>
  <c r="D1023" i="2"/>
  <c r="H1022" i="2"/>
  <c r="G1022" i="2"/>
  <c r="F1022" i="2"/>
  <c r="E1022" i="2"/>
  <c r="D1022" i="2"/>
  <c r="H1021" i="2"/>
  <c r="G1021" i="2"/>
  <c r="F1021" i="2"/>
  <c r="E1021" i="2"/>
  <c r="D1021" i="2"/>
  <c r="H1020" i="2"/>
  <c r="G1020" i="2"/>
  <c r="F1020" i="2"/>
  <c r="E1020" i="2"/>
  <c r="D1020" i="2"/>
  <c r="H1019" i="2"/>
  <c r="G1019" i="2"/>
  <c r="F1019" i="2"/>
  <c r="E1019" i="2"/>
  <c r="D1019" i="2"/>
  <c r="H1018" i="2"/>
  <c r="G1018" i="2"/>
  <c r="F1018" i="2"/>
  <c r="E1018" i="2"/>
  <c r="D1018" i="2"/>
  <c r="H1017" i="2"/>
  <c r="G1017" i="2"/>
  <c r="F1017" i="2"/>
  <c r="E1017" i="2"/>
  <c r="D1017" i="2"/>
  <c r="H1016" i="2"/>
  <c r="G1016" i="2"/>
  <c r="F1016" i="2"/>
  <c r="E1016" i="2"/>
  <c r="D1016" i="2"/>
  <c r="H1015" i="2"/>
  <c r="G1015" i="2"/>
  <c r="F1015" i="2"/>
  <c r="E1015" i="2"/>
  <c r="D1015" i="2"/>
  <c r="H1014" i="2"/>
  <c r="G1014" i="2"/>
  <c r="F1014" i="2"/>
  <c r="E1014" i="2"/>
  <c r="D1014" i="2"/>
  <c r="H1013" i="2"/>
  <c r="G1013" i="2"/>
  <c r="F1013" i="2"/>
  <c r="E1013" i="2"/>
  <c r="D1013" i="2"/>
  <c r="H1012" i="2"/>
  <c r="G1012" i="2"/>
  <c r="F1012" i="2"/>
  <c r="E1012" i="2"/>
  <c r="D1012" i="2"/>
  <c r="H1011" i="2"/>
  <c r="G1011" i="2"/>
  <c r="F1011" i="2"/>
  <c r="E1011" i="2"/>
  <c r="D1011" i="2"/>
  <c r="H1010" i="2"/>
  <c r="G1010" i="2"/>
  <c r="F1010" i="2"/>
  <c r="E1010" i="2"/>
  <c r="D1010" i="2"/>
  <c r="H1009" i="2"/>
  <c r="G1009" i="2"/>
  <c r="F1009" i="2"/>
  <c r="E1009" i="2"/>
  <c r="D1009" i="2"/>
  <c r="H1008" i="2"/>
  <c r="G1008" i="2"/>
  <c r="F1008" i="2"/>
  <c r="E1008" i="2"/>
  <c r="D1008" i="2"/>
  <c r="H1007" i="2"/>
  <c r="G1007" i="2"/>
  <c r="F1007" i="2"/>
  <c r="E1007" i="2"/>
  <c r="D1007" i="2"/>
  <c r="H1006" i="2"/>
  <c r="G1006" i="2"/>
  <c r="F1006" i="2"/>
  <c r="E1006" i="2"/>
  <c r="D1006" i="2"/>
  <c r="H1005" i="2"/>
  <c r="G1005" i="2"/>
  <c r="F1005" i="2"/>
  <c r="E1005" i="2"/>
  <c r="D1005" i="2"/>
  <c r="H1004" i="2"/>
  <c r="G1004" i="2"/>
  <c r="F1004" i="2"/>
  <c r="E1004" i="2"/>
  <c r="D1004" i="2"/>
  <c r="H1003" i="2"/>
  <c r="G1003" i="2"/>
  <c r="F1003" i="2"/>
  <c r="E1003" i="2"/>
  <c r="D1003" i="2"/>
  <c r="H1002" i="2"/>
  <c r="G1002" i="2"/>
  <c r="F1002" i="2"/>
  <c r="E1002" i="2"/>
  <c r="D1002" i="2"/>
  <c r="H1001" i="2"/>
  <c r="G1001" i="2"/>
  <c r="F1001" i="2"/>
  <c r="E1001" i="2"/>
  <c r="D1001" i="2"/>
  <c r="H1000" i="2"/>
  <c r="G1000" i="2"/>
  <c r="F1000" i="2"/>
  <c r="E1000" i="2"/>
  <c r="D1000" i="2"/>
  <c r="H999" i="2"/>
  <c r="G999" i="2"/>
  <c r="F999" i="2"/>
  <c r="E999" i="2"/>
  <c r="D999" i="2"/>
  <c r="H998" i="2"/>
  <c r="G998" i="2"/>
  <c r="F998" i="2"/>
  <c r="E998" i="2"/>
  <c r="D998" i="2"/>
  <c r="H997" i="2"/>
  <c r="G997" i="2"/>
  <c r="F997" i="2"/>
  <c r="E997" i="2"/>
  <c r="D997" i="2"/>
  <c r="H1070" i="2" l="1"/>
  <c r="G1070" i="2"/>
  <c r="F1070" i="2"/>
  <c r="E1070" i="2"/>
  <c r="D1070" i="2"/>
  <c r="H1068" i="2"/>
  <c r="G1068" i="2"/>
  <c r="F1068" i="2"/>
  <c r="E1068" i="2"/>
  <c r="D1068" i="2"/>
  <c r="H1067" i="2"/>
  <c r="G1067" i="2"/>
  <c r="F1067" i="2"/>
  <c r="E1067" i="2"/>
  <c r="D1067" i="2"/>
  <c r="H1066" i="2"/>
  <c r="G1066" i="2"/>
  <c r="F1066" i="2"/>
  <c r="E1066" i="2"/>
  <c r="D1066" i="2"/>
  <c r="H1065" i="2"/>
  <c r="G1065" i="2"/>
  <c r="F1065" i="2"/>
  <c r="E1065" i="2"/>
  <c r="D1065" i="2"/>
  <c r="H1064" i="2"/>
  <c r="G1064" i="2"/>
  <c r="F1064" i="2"/>
  <c r="E1064" i="2"/>
  <c r="D1064" i="2"/>
  <c r="H1063" i="2"/>
  <c r="G1063" i="2"/>
  <c r="F1063" i="2"/>
  <c r="E1063" i="2"/>
  <c r="D1063" i="2"/>
  <c r="H1062" i="2"/>
  <c r="G1062" i="2"/>
  <c r="F1062" i="2"/>
  <c r="E1062" i="2"/>
  <c r="D1062" i="2"/>
  <c r="H1061" i="2"/>
  <c r="G1061" i="2"/>
  <c r="F1061" i="2"/>
  <c r="E1061" i="2"/>
  <c r="D1061" i="2"/>
  <c r="H1060" i="2"/>
  <c r="G1060" i="2"/>
  <c r="F1060" i="2"/>
  <c r="E1060" i="2"/>
  <c r="D1060" i="2"/>
  <c r="H1059" i="2"/>
  <c r="G1059" i="2"/>
  <c r="F1059" i="2"/>
  <c r="E1059" i="2"/>
  <c r="D1059" i="2"/>
  <c r="H1058" i="2"/>
  <c r="G1058" i="2"/>
  <c r="F1058" i="2"/>
  <c r="E1058" i="2"/>
  <c r="D1058" i="2"/>
  <c r="H1057" i="2"/>
  <c r="G1057" i="2"/>
  <c r="F1057" i="2"/>
  <c r="E1057" i="2"/>
  <c r="D1057" i="2"/>
  <c r="H1056" i="2"/>
  <c r="G1056" i="2"/>
  <c r="F1056" i="2"/>
  <c r="E1056" i="2"/>
  <c r="D1056" i="2"/>
  <c r="H1055" i="2"/>
  <c r="G1055" i="2"/>
  <c r="F1055" i="2"/>
  <c r="E1055" i="2"/>
  <c r="D1055" i="2"/>
  <c r="H1054" i="2"/>
  <c r="G1054" i="2"/>
  <c r="F1054" i="2"/>
  <c r="E1054" i="2"/>
  <c r="D1054" i="2"/>
  <c r="H1053" i="2"/>
  <c r="G1053" i="2"/>
  <c r="F1053" i="2"/>
  <c r="E1053" i="2"/>
  <c r="D1053" i="2"/>
  <c r="H1052" i="2"/>
  <c r="G1052" i="2"/>
  <c r="F1052" i="2"/>
  <c r="E1052" i="2"/>
  <c r="D1052" i="2"/>
  <c r="H1051" i="2"/>
  <c r="G1051" i="2"/>
  <c r="F1051" i="2"/>
  <c r="E1051" i="2"/>
  <c r="D1051" i="2"/>
  <c r="H1050" i="2"/>
  <c r="G1050" i="2"/>
  <c r="F1050" i="2"/>
  <c r="E1050" i="2"/>
  <c r="D1050" i="2"/>
  <c r="H1049" i="2"/>
  <c r="G1049" i="2"/>
  <c r="F1049" i="2"/>
  <c r="E1049" i="2"/>
  <c r="D1049" i="2"/>
  <c r="H1048" i="2"/>
  <c r="G1048" i="2"/>
  <c r="F1048" i="2"/>
  <c r="E1048" i="2"/>
  <c r="D1048" i="2"/>
  <c r="H1047" i="2"/>
  <c r="G1047" i="2"/>
  <c r="F1047" i="2"/>
  <c r="E1047" i="2"/>
  <c r="D1047" i="2"/>
  <c r="H1046" i="2"/>
  <c r="G1046" i="2"/>
  <c r="F1046" i="2"/>
  <c r="E1046" i="2"/>
  <c r="D1046" i="2"/>
  <c r="H1045" i="2"/>
  <c r="G1045" i="2"/>
  <c r="F1045" i="2"/>
  <c r="E1045" i="2"/>
  <c r="D1045" i="2"/>
  <c r="H1044" i="2"/>
  <c r="G1044" i="2"/>
  <c r="F1044" i="2"/>
  <c r="E1044" i="2"/>
  <c r="D1044" i="2"/>
  <c r="H1043" i="2"/>
  <c r="G1043" i="2"/>
  <c r="F1043" i="2"/>
  <c r="E1043" i="2"/>
  <c r="D1043" i="2"/>
  <c r="H1042" i="2"/>
  <c r="G1042" i="2"/>
  <c r="F1042" i="2"/>
  <c r="E1042" i="2"/>
  <c r="D1042" i="2"/>
  <c r="H1041" i="2"/>
  <c r="G1041" i="2"/>
  <c r="F1041" i="2"/>
  <c r="E1041" i="2"/>
  <c r="D1041" i="2"/>
  <c r="H1040" i="2"/>
  <c r="G1040" i="2"/>
  <c r="F1040" i="2"/>
  <c r="E1040" i="2"/>
  <c r="D1040" i="2"/>
  <c r="H1113" i="2" l="1"/>
  <c r="G1113" i="2"/>
  <c r="F1113" i="2"/>
  <c r="E1113" i="2"/>
  <c r="D1113" i="2"/>
  <c r="H1111" i="2"/>
  <c r="G1111" i="2"/>
  <c r="F1111" i="2"/>
  <c r="E1111" i="2"/>
  <c r="D1111" i="2"/>
  <c r="H1110" i="2"/>
  <c r="G1110" i="2"/>
  <c r="F1110" i="2"/>
  <c r="E1110" i="2"/>
  <c r="D1110" i="2"/>
  <c r="H1109" i="2"/>
  <c r="G1109" i="2"/>
  <c r="F1109" i="2"/>
  <c r="E1109" i="2"/>
  <c r="D1109" i="2"/>
  <c r="H1108" i="2"/>
  <c r="G1108" i="2"/>
  <c r="F1108" i="2"/>
  <c r="E1108" i="2"/>
  <c r="D1108" i="2"/>
  <c r="H1107" i="2"/>
  <c r="G1107" i="2"/>
  <c r="F1107" i="2"/>
  <c r="E1107" i="2"/>
  <c r="D1107" i="2"/>
  <c r="H1106" i="2"/>
  <c r="G1106" i="2"/>
  <c r="F1106" i="2"/>
  <c r="E1106" i="2"/>
  <c r="D1106" i="2"/>
  <c r="H1105" i="2"/>
  <c r="G1105" i="2"/>
  <c r="F1105" i="2"/>
  <c r="E1105" i="2"/>
  <c r="D1105" i="2"/>
  <c r="H1104" i="2"/>
  <c r="G1104" i="2"/>
  <c r="F1104" i="2"/>
  <c r="E1104" i="2"/>
  <c r="D1104" i="2"/>
  <c r="H1103" i="2"/>
  <c r="G1103" i="2"/>
  <c r="F1103" i="2"/>
  <c r="E1103" i="2"/>
  <c r="D1103" i="2"/>
  <c r="H1102" i="2"/>
  <c r="G1102" i="2"/>
  <c r="F1102" i="2"/>
  <c r="E1102" i="2"/>
  <c r="D1102" i="2"/>
  <c r="H1101" i="2"/>
  <c r="G1101" i="2"/>
  <c r="F1101" i="2"/>
  <c r="E1101" i="2"/>
  <c r="D1101" i="2"/>
  <c r="H1100" i="2"/>
  <c r="G1100" i="2"/>
  <c r="F1100" i="2"/>
  <c r="E1100" i="2"/>
  <c r="D1100" i="2"/>
  <c r="H1099" i="2"/>
  <c r="G1099" i="2"/>
  <c r="F1099" i="2"/>
  <c r="E1099" i="2"/>
  <c r="D1099" i="2"/>
  <c r="H1098" i="2"/>
  <c r="G1098" i="2"/>
  <c r="F1098" i="2"/>
  <c r="E1098" i="2"/>
  <c r="D1098" i="2"/>
  <c r="H1097" i="2"/>
  <c r="G1097" i="2"/>
  <c r="F1097" i="2"/>
  <c r="E1097" i="2"/>
  <c r="D1097" i="2"/>
  <c r="H1096" i="2"/>
  <c r="G1096" i="2"/>
  <c r="F1096" i="2"/>
  <c r="E1096" i="2"/>
  <c r="D1096" i="2"/>
  <c r="H1095" i="2"/>
  <c r="G1095" i="2"/>
  <c r="F1095" i="2"/>
  <c r="E1095" i="2"/>
  <c r="D1095" i="2"/>
  <c r="H1094" i="2"/>
  <c r="G1094" i="2"/>
  <c r="F1094" i="2"/>
  <c r="E1094" i="2"/>
  <c r="D1094" i="2"/>
  <c r="H1093" i="2"/>
  <c r="G1093" i="2"/>
  <c r="F1093" i="2"/>
  <c r="E1093" i="2"/>
  <c r="D1093" i="2"/>
  <c r="H1092" i="2"/>
  <c r="G1092" i="2"/>
  <c r="F1092" i="2"/>
  <c r="E1092" i="2"/>
  <c r="D1092" i="2"/>
  <c r="H1091" i="2"/>
  <c r="G1091" i="2"/>
  <c r="F1091" i="2"/>
  <c r="E1091" i="2"/>
  <c r="D1091" i="2"/>
  <c r="H1090" i="2"/>
  <c r="G1090" i="2"/>
  <c r="F1090" i="2"/>
  <c r="E1090" i="2"/>
  <c r="D1090" i="2"/>
  <c r="H1089" i="2"/>
  <c r="G1089" i="2"/>
  <c r="F1089" i="2"/>
  <c r="E1089" i="2"/>
  <c r="D1089" i="2"/>
  <c r="H1088" i="2"/>
  <c r="G1088" i="2"/>
  <c r="F1088" i="2"/>
  <c r="E1088" i="2"/>
  <c r="D1088" i="2"/>
  <c r="H1087" i="2"/>
  <c r="G1087" i="2"/>
  <c r="F1087" i="2"/>
  <c r="E1087" i="2"/>
  <c r="D1087" i="2"/>
  <c r="H1086" i="2"/>
  <c r="G1086" i="2"/>
  <c r="F1086" i="2"/>
  <c r="E1086" i="2"/>
  <c r="D1086" i="2"/>
  <c r="H1085" i="2"/>
  <c r="G1085" i="2"/>
  <c r="F1085" i="2"/>
  <c r="E1085" i="2"/>
  <c r="D1085" i="2"/>
  <c r="H1084" i="2"/>
  <c r="G1084" i="2"/>
  <c r="F1084" i="2"/>
  <c r="E1084" i="2"/>
  <c r="D1084" i="2"/>
  <c r="H1083" i="2"/>
  <c r="G1083" i="2"/>
  <c r="F1083" i="2"/>
  <c r="E1083" i="2"/>
  <c r="D1083" i="2"/>
  <c r="H1156" i="2" l="1"/>
  <c r="G1156" i="2"/>
  <c r="F1156" i="2"/>
  <c r="E1156" i="2"/>
  <c r="D1156" i="2"/>
  <c r="H1154" i="2"/>
  <c r="G1154" i="2"/>
  <c r="F1154" i="2"/>
  <c r="E1154" i="2"/>
  <c r="D1154" i="2"/>
  <c r="H1153" i="2"/>
  <c r="G1153" i="2"/>
  <c r="F1153" i="2"/>
  <c r="E1153" i="2"/>
  <c r="D1153" i="2"/>
  <c r="H1152" i="2"/>
  <c r="G1152" i="2"/>
  <c r="F1152" i="2"/>
  <c r="E1152" i="2"/>
  <c r="D1152" i="2"/>
  <c r="H1151" i="2"/>
  <c r="G1151" i="2"/>
  <c r="F1151" i="2"/>
  <c r="E1151" i="2"/>
  <c r="D1151" i="2"/>
  <c r="H1150" i="2"/>
  <c r="G1150" i="2"/>
  <c r="F1150" i="2"/>
  <c r="E1150" i="2"/>
  <c r="D1150" i="2"/>
  <c r="H1149" i="2"/>
  <c r="G1149" i="2"/>
  <c r="F1149" i="2"/>
  <c r="E1149" i="2"/>
  <c r="D1149" i="2"/>
  <c r="H1148" i="2"/>
  <c r="G1148" i="2"/>
  <c r="F1148" i="2"/>
  <c r="E1148" i="2"/>
  <c r="D1148" i="2"/>
  <c r="H1147" i="2"/>
  <c r="G1147" i="2"/>
  <c r="F1147" i="2"/>
  <c r="E1147" i="2"/>
  <c r="D1147" i="2"/>
  <c r="H1146" i="2"/>
  <c r="G1146" i="2"/>
  <c r="F1146" i="2"/>
  <c r="E1146" i="2"/>
  <c r="D1146" i="2"/>
  <c r="H1145" i="2"/>
  <c r="G1145" i="2"/>
  <c r="F1145" i="2"/>
  <c r="E1145" i="2"/>
  <c r="D1145" i="2"/>
  <c r="H1144" i="2"/>
  <c r="G1144" i="2"/>
  <c r="F1144" i="2"/>
  <c r="E1144" i="2"/>
  <c r="D1144" i="2"/>
  <c r="H1143" i="2"/>
  <c r="G1143" i="2"/>
  <c r="F1143" i="2"/>
  <c r="E1143" i="2"/>
  <c r="D1143" i="2"/>
  <c r="H1142" i="2"/>
  <c r="G1142" i="2"/>
  <c r="F1142" i="2"/>
  <c r="E1142" i="2"/>
  <c r="D1142" i="2"/>
  <c r="H1141" i="2"/>
  <c r="G1141" i="2"/>
  <c r="F1141" i="2"/>
  <c r="E1141" i="2"/>
  <c r="D1141" i="2"/>
  <c r="H1140" i="2"/>
  <c r="G1140" i="2"/>
  <c r="F1140" i="2"/>
  <c r="E1140" i="2"/>
  <c r="D1140" i="2"/>
  <c r="H1139" i="2"/>
  <c r="G1139" i="2"/>
  <c r="F1139" i="2"/>
  <c r="E1139" i="2"/>
  <c r="D1139" i="2"/>
  <c r="H1138" i="2"/>
  <c r="G1138" i="2"/>
  <c r="F1138" i="2"/>
  <c r="E1138" i="2"/>
  <c r="D1138" i="2"/>
  <c r="H1137" i="2"/>
  <c r="G1137" i="2"/>
  <c r="F1137" i="2"/>
  <c r="E1137" i="2"/>
  <c r="D1137" i="2"/>
  <c r="H1136" i="2"/>
  <c r="G1136" i="2"/>
  <c r="F1136" i="2"/>
  <c r="E1136" i="2"/>
  <c r="D1136" i="2"/>
  <c r="H1135" i="2"/>
  <c r="G1135" i="2"/>
  <c r="F1135" i="2"/>
  <c r="E1135" i="2"/>
  <c r="D1135" i="2"/>
  <c r="H1134" i="2"/>
  <c r="G1134" i="2"/>
  <c r="F1134" i="2"/>
  <c r="E1134" i="2"/>
  <c r="D1134" i="2"/>
  <c r="H1133" i="2"/>
  <c r="G1133" i="2"/>
  <c r="F1133" i="2"/>
  <c r="E1133" i="2"/>
  <c r="D1133" i="2"/>
  <c r="H1132" i="2"/>
  <c r="G1132" i="2"/>
  <c r="F1132" i="2"/>
  <c r="E1132" i="2"/>
  <c r="D1132" i="2"/>
  <c r="H1131" i="2"/>
  <c r="G1131" i="2"/>
  <c r="F1131" i="2"/>
  <c r="E1131" i="2"/>
  <c r="D1131" i="2"/>
  <c r="H1130" i="2"/>
  <c r="G1130" i="2"/>
  <c r="F1130" i="2"/>
  <c r="E1130" i="2"/>
  <c r="D1130" i="2"/>
  <c r="H1129" i="2"/>
  <c r="G1129" i="2"/>
  <c r="F1129" i="2"/>
  <c r="E1129" i="2"/>
  <c r="D1129" i="2"/>
  <c r="H1128" i="2"/>
  <c r="G1128" i="2"/>
  <c r="F1128" i="2"/>
  <c r="E1128" i="2"/>
  <c r="D1128" i="2"/>
  <c r="H1127" i="2"/>
  <c r="G1127" i="2"/>
  <c r="F1127" i="2"/>
  <c r="E1127" i="2"/>
  <c r="D1127" i="2"/>
  <c r="H1126" i="2"/>
  <c r="G1126" i="2"/>
  <c r="F1126" i="2"/>
  <c r="E1126" i="2"/>
  <c r="D1126" i="2"/>
  <c r="H1199" i="2" l="1"/>
  <c r="G1199" i="2"/>
  <c r="F1199" i="2"/>
  <c r="E1199" i="2"/>
  <c r="D1199" i="2"/>
  <c r="H1197" i="2"/>
  <c r="G1197" i="2"/>
  <c r="F1197" i="2"/>
  <c r="E1197" i="2"/>
  <c r="D1197" i="2"/>
  <c r="H1196" i="2"/>
  <c r="G1196" i="2"/>
  <c r="F1196" i="2"/>
  <c r="E1196" i="2"/>
  <c r="D1196" i="2"/>
  <c r="H1195" i="2"/>
  <c r="G1195" i="2"/>
  <c r="F1195" i="2"/>
  <c r="E1195" i="2"/>
  <c r="D1195" i="2"/>
  <c r="H1194" i="2"/>
  <c r="G1194" i="2"/>
  <c r="F1194" i="2"/>
  <c r="E1194" i="2"/>
  <c r="D1194" i="2"/>
  <c r="H1193" i="2"/>
  <c r="G1193" i="2"/>
  <c r="F1193" i="2"/>
  <c r="E1193" i="2"/>
  <c r="D1193" i="2"/>
  <c r="H1192" i="2"/>
  <c r="G1192" i="2"/>
  <c r="F1192" i="2"/>
  <c r="E1192" i="2"/>
  <c r="D1192" i="2"/>
  <c r="H1191" i="2"/>
  <c r="G1191" i="2"/>
  <c r="F1191" i="2"/>
  <c r="E1191" i="2"/>
  <c r="D1191" i="2"/>
  <c r="H1190" i="2"/>
  <c r="G1190" i="2"/>
  <c r="F1190" i="2"/>
  <c r="E1190" i="2"/>
  <c r="D1190" i="2"/>
  <c r="H1189" i="2"/>
  <c r="G1189" i="2"/>
  <c r="F1189" i="2"/>
  <c r="E1189" i="2"/>
  <c r="D1189" i="2"/>
  <c r="H1188" i="2"/>
  <c r="G1188" i="2"/>
  <c r="F1188" i="2"/>
  <c r="E1188" i="2"/>
  <c r="D1188" i="2"/>
  <c r="H1187" i="2"/>
  <c r="G1187" i="2"/>
  <c r="F1187" i="2"/>
  <c r="E1187" i="2"/>
  <c r="D1187" i="2"/>
  <c r="H1186" i="2"/>
  <c r="G1186" i="2"/>
  <c r="F1186" i="2"/>
  <c r="E1186" i="2"/>
  <c r="D1186" i="2"/>
  <c r="H1185" i="2"/>
  <c r="G1185" i="2"/>
  <c r="F1185" i="2"/>
  <c r="E1185" i="2"/>
  <c r="D1185" i="2"/>
  <c r="H1184" i="2"/>
  <c r="G1184" i="2"/>
  <c r="F1184" i="2"/>
  <c r="E1184" i="2"/>
  <c r="D1184" i="2"/>
  <c r="H1183" i="2"/>
  <c r="G1183" i="2"/>
  <c r="F1183" i="2"/>
  <c r="E1183" i="2"/>
  <c r="D1183" i="2"/>
  <c r="H1182" i="2"/>
  <c r="G1182" i="2"/>
  <c r="F1182" i="2"/>
  <c r="E1182" i="2"/>
  <c r="D1182" i="2"/>
  <c r="H1181" i="2"/>
  <c r="G1181" i="2"/>
  <c r="F1181" i="2"/>
  <c r="E1181" i="2"/>
  <c r="D1181" i="2"/>
  <c r="H1180" i="2"/>
  <c r="G1180" i="2"/>
  <c r="F1180" i="2"/>
  <c r="E1180" i="2"/>
  <c r="D1180" i="2"/>
  <c r="H1179" i="2"/>
  <c r="G1179" i="2"/>
  <c r="F1179" i="2"/>
  <c r="E1179" i="2"/>
  <c r="D1179" i="2"/>
  <c r="H1178" i="2"/>
  <c r="G1178" i="2"/>
  <c r="F1178" i="2"/>
  <c r="E1178" i="2"/>
  <c r="D1178" i="2"/>
  <c r="H1177" i="2"/>
  <c r="G1177" i="2"/>
  <c r="F1177" i="2"/>
  <c r="E1177" i="2"/>
  <c r="D1177" i="2"/>
  <c r="H1176" i="2"/>
  <c r="G1176" i="2"/>
  <c r="F1176" i="2"/>
  <c r="E1176" i="2"/>
  <c r="D1176" i="2"/>
  <c r="H1175" i="2"/>
  <c r="G1175" i="2"/>
  <c r="F1175" i="2"/>
  <c r="E1175" i="2"/>
  <c r="D1175" i="2"/>
  <c r="H1174" i="2"/>
  <c r="G1174" i="2"/>
  <c r="F1174" i="2"/>
  <c r="E1174" i="2"/>
  <c r="D1174" i="2"/>
  <c r="H1173" i="2"/>
  <c r="G1173" i="2"/>
  <c r="F1173" i="2"/>
  <c r="E1173" i="2"/>
  <c r="D1173" i="2"/>
  <c r="H1172" i="2"/>
  <c r="G1172" i="2"/>
  <c r="F1172" i="2"/>
  <c r="E1172" i="2"/>
  <c r="D1172" i="2"/>
  <c r="H1171" i="2"/>
  <c r="G1171" i="2"/>
  <c r="F1171" i="2"/>
  <c r="E1171" i="2"/>
  <c r="D1171" i="2"/>
  <c r="H1170" i="2"/>
  <c r="G1170" i="2"/>
  <c r="F1170" i="2"/>
  <c r="E1170" i="2"/>
  <c r="D1170" i="2"/>
  <c r="H1169" i="2"/>
  <c r="G1169" i="2"/>
  <c r="F1169" i="2"/>
  <c r="E1169" i="2"/>
  <c r="D1169" i="2"/>
  <c r="H1240" i="2" l="1"/>
  <c r="G1240" i="2"/>
  <c r="F1240" i="2"/>
  <c r="E1240" i="2"/>
  <c r="D1240" i="2"/>
  <c r="H1239" i="2"/>
  <c r="G1239" i="2"/>
  <c r="F1239" i="2"/>
  <c r="E1239" i="2"/>
  <c r="D1239" i="2"/>
  <c r="H1238" i="2"/>
  <c r="G1238" i="2"/>
  <c r="F1238" i="2"/>
  <c r="E1238" i="2"/>
  <c r="D1238" i="2"/>
  <c r="H1237" i="2"/>
  <c r="G1237" i="2"/>
  <c r="F1237" i="2"/>
  <c r="E1237" i="2"/>
  <c r="D1237" i="2"/>
  <c r="H1236" i="2"/>
  <c r="G1236" i="2"/>
  <c r="F1236" i="2"/>
  <c r="E1236" i="2"/>
  <c r="D1236" i="2"/>
  <c r="H1235" i="2"/>
  <c r="G1235" i="2"/>
  <c r="F1235" i="2"/>
  <c r="E1235" i="2"/>
  <c r="D1235" i="2"/>
  <c r="H1234" i="2"/>
  <c r="G1234" i="2"/>
  <c r="F1234" i="2"/>
  <c r="E1234" i="2"/>
  <c r="D1234" i="2"/>
  <c r="H1233" i="2"/>
  <c r="G1233" i="2"/>
  <c r="F1233" i="2"/>
  <c r="E1233" i="2"/>
  <c r="D1233" i="2"/>
  <c r="H1232" i="2"/>
  <c r="G1232" i="2"/>
  <c r="F1232" i="2"/>
  <c r="E1232" i="2"/>
  <c r="D1232" i="2"/>
  <c r="H1231" i="2"/>
  <c r="G1231" i="2"/>
  <c r="F1231" i="2"/>
  <c r="E1231" i="2"/>
  <c r="D1231" i="2"/>
  <c r="H1230" i="2"/>
  <c r="G1230" i="2"/>
  <c r="F1230" i="2"/>
  <c r="E1230" i="2"/>
  <c r="D1230" i="2"/>
  <c r="H1229" i="2"/>
  <c r="G1229" i="2"/>
  <c r="F1229" i="2"/>
  <c r="E1229" i="2"/>
  <c r="D1229" i="2"/>
  <c r="H1228" i="2"/>
  <c r="G1228" i="2"/>
  <c r="F1228" i="2"/>
  <c r="E1228" i="2"/>
  <c r="D1228" i="2"/>
  <c r="H1227" i="2"/>
  <c r="G1227" i="2"/>
  <c r="F1227" i="2"/>
  <c r="E1227" i="2"/>
  <c r="D1227" i="2"/>
  <c r="H1226" i="2"/>
  <c r="G1226" i="2"/>
  <c r="F1226" i="2"/>
  <c r="E1226" i="2"/>
  <c r="D1226" i="2"/>
  <c r="H1225" i="2"/>
  <c r="G1225" i="2"/>
  <c r="F1225" i="2"/>
  <c r="E1225" i="2"/>
  <c r="D1225" i="2"/>
  <c r="H1224" i="2"/>
  <c r="G1224" i="2"/>
  <c r="F1224" i="2"/>
  <c r="E1224" i="2"/>
  <c r="D1224" i="2"/>
  <c r="H1223" i="2"/>
  <c r="G1223" i="2"/>
  <c r="F1223" i="2"/>
  <c r="E1223" i="2"/>
  <c r="D1223" i="2"/>
  <c r="H1222" i="2"/>
  <c r="G1222" i="2"/>
  <c r="F1222" i="2"/>
  <c r="E1222" i="2"/>
  <c r="D1222" i="2"/>
  <c r="H1221" i="2"/>
  <c r="G1221" i="2"/>
  <c r="F1221" i="2"/>
  <c r="E1221" i="2"/>
  <c r="D1221" i="2"/>
  <c r="H1220" i="2"/>
  <c r="G1220" i="2"/>
  <c r="F1220" i="2"/>
  <c r="E1220" i="2"/>
  <c r="D1220" i="2"/>
  <c r="H1219" i="2"/>
  <c r="G1219" i="2"/>
  <c r="F1219" i="2"/>
  <c r="E1219" i="2"/>
  <c r="D1219" i="2"/>
  <c r="H1218" i="2"/>
  <c r="G1218" i="2"/>
  <c r="F1218" i="2"/>
  <c r="E1218" i="2"/>
  <c r="D1218" i="2"/>
  <c r="H1217" i="2"/>
  <c r="G1217" i="2"/>
  <c r="F1217" i="2"/>
  <c r="E1217" i="2"/>
  <c r="D1217" i="2"/>
  <c r="H1216" i="2"/>
  <c r="G1216" i="2"/>
  <c r="F1216" i="2"/>
  <c r="E1216" i="2"/>
  <c r="D1216" i="2"/>
  <c r="H1215" i="2"/>
  <c r="G1215" i="2"/>
  <c r="F1215" i="2"/>
  <c r="E1215" i="2"/>
  <c r="D1215" i="2"/>
  <c r="H1214" i="2"/>
  <c r="G1214" i="2"/>
  <c r="F1214" i="2"/>
  <c r="E1214" i="2"/>
  <c r="D1214" i="2"/>
  <c r="H1213" i="2"/>
  <c r="G1213" i="2"/>
  <c r="F1213" i="2"/>
  <c r="E1213" i="2"/>
  <c r="D1213" i="2"/>
  <c r="H1212" i="2"/>
  <c r="G1212" i="2"/>
  <c r="F1212" i="2"/>
  <c r="E1212" i="2"/>
  <c r="D1212" i="2"/>
  <c r="H1283" i="2" l="1"/>
  <c r="G1283" i="2"/>
  <c r="F1283" i="2"/>
  <c r="E1283" i="2"/>
  <c r="D1283" i="2"/>
  <c r="H1282" i="2"/>
  <c r="G1282" i="2"/>
  <c r="F1282" i="2"/>
  <c r="E1282" i="2"/>
  <c r="D1282" i="2"/>
  <c r="H1281" i="2"/>
  <c r="G1281" i="2"/>
  <c r="F1281" i="2"/>
  <c r="E1281" i="2"/>
  <c r="D1281" i="2"/>
  <c r="H1280" i="2"/>
  <c r="G1280" i="2"/>
  <c r="F1280" i="2"/>
  <c r="E1280" i="2"/>
  <c r="D1280" i="2"/>
  <c r="H1279" i="2"/>
  <c r="G1279" i="2"/>
  <c r="F1279" i="2"/>
  <c r="E1279" i="2"/>
  <c r="D1279" i="2"/>
  <c r="H1278" i="2"/>
  <c r="G1278" i="2"/>
  <c r="F1278" i="2"/>
  <c r="E1278" i="2"/>
  <c r="D1278" i="2"/>
  <c r="H1277" i="2"/>
  <c r="G1277" i="2"/>
  <c r="F1277" i="2"/>
  <c r="E1277" i="2"/>
  <c r="D1277" i="2"/>
  <c r="H1276" i="2"/>
  <c r="G1276" i="2"/>
  <c r="F1276" i="2"/>
  <c r="E1276" i="2"/>
  <c r="D1276" i="2"/>
  <c r="H1275" i="2"/>
  <c r="G1275" i="2"/>
  <c r="F1275" i="2"/>
  <c r="E1275" i="2"/>
  <c r="D1275" i="2"/>
  <c r="H1274" i="2"/>
  <c r="G1274" i="2"/>
  <c r="F1274" i="2"/>
  <c r="E1274" i="2"/>
  <c r="D1274" i="2"/>
  <c r="H1273" i="2"/>
  <c r="G1273" i="2"/>
  <c r="F1273" i="2"/>
  <c r="E1273" i="2"/>
  <c r="D1273" i="2"/>
  <c r="H1272" i="2"/>
  <c r="G1272" i="2"/>
  <c r="F1272" i="2"/>
  <c r="E1272" i="2"/>
  <c r="D1272" i="2"/>
  <c r="H1271" i="2"/>
  <c r="G1271" i="2"/>
  <c r="F1271" i="2"/>
  <c r="E1271" i="2"/>
  <c r="D1271" i="2"/>
  <c r="H1270" i="2"/>
  <c r="G1270" i="2"/>
  <c r="F1270" i="2"/>
  <c r="E1270" i="2"/>
  <c r="D1270" i="2"/>
  <c r="H1269" i="2"/>
  <c r="G1269" i="2"/>
  <c r="F1269" i="2"/>
  <c r="E1269" i="2"/>
  <c r="D1269" i="2"/>
  <c r="H1268" i="2"/>
  <c r="G1268" i="2"/>
  <c r="F1268" i="2"/>
  <c r="E1268" i="2"/>
  <c r="D1268" i="2"/>
  <c r="H1267" i="2"/>
  <c r="G1267" i="2"/>
  <c r="F1267" i="2"/>
  <c r="E1267" i="2"/>
  <c r="D1267" i="2"/>
  <c r="H1266" i="2"/>
  <c r="G1266" i="2"/>
  <c r="F1266" i="2"/>
  <c r="E1266" i="2"/>
  <c r="D1266" i="2"/>
  <c r="H1265" i="2"/>
  <c r="G1265" i="2"/>
  <c r="F1265" i="2"/>
  <c r="E1265" i="2"/>
  <c r="D1265" i="2"/>
  <c r="H1264" i="2"/>
  <c r="G1264" i="2"/>
  <c r="F1264" i="2"/>
  <c r="E1264" i="2"/>
  <c r="D1264" i="2"/>
  <c r="H1263" i="2"/>
  <c r="G1263" i="2"/>
  <c r="F1263" i="2"/>
  <c r="E1263" i="2"/>
  <c r="D1263" i="2"/>
  <c r="H1262" i="2"/>
  <c r="G1262" i="2"/>
  <c r="F1262" i="2"/>
  <c r="E1262" i="2"/>
  <c r="D1262" i="2"/>
  <c r="H1261" i="2"/>
  <c r="G1261" i="2"/>
  <c r="F1261" i="2"/>
  <c r="E1261" i="2"/>
  <c r="D1261" i="2"/>
  <c r="H1260" i="2"/>
  <c r="G1260" i="2"/>
  <c r="F1260" i="2"/>
  <c r="E1260" i="2"/>
  <c r="D1260" i="2"/>
  <c r="H1259" i="2"/>
  <c r="G1259" i="2"/>
  <c r="F1259" i="2"/>
  <c r="E1259" i="2"/>
  <c r="D1259" i="2"/>
  <c r="H1258" i="2"/>
  <c r="G1258" i="2"/>
  <c r="F1258" i="2"/>
  <c r="E1258" i="2"/>
  <c r="D1258" i="2"/>
  <c r="H1257" i="2"/>
  <c r="G1257" i="2"/>
  <c r="F1257" i="2"/>
  <c r="E1257" i="2"/>
  <c r="D1257" i="2"/>
  <c r="H1256" i="2"/>
  <c r="G1256" i="2"/>
  <c r="F1256" i="2"/>
  <c r="E1256" i="2"/>
  <c r="D1256" i="2"/>
  <c r="H1255" i="2"/>
  <c r="G1255" i="2"/>
  <c r="F1255" i="2"/>
  <c r="E1255" i="2"/>
  <c r="D1255" i="2"/>
  <c r="H1326" i="2" l="1"/>
  <c r="G1326" i="2"/>
  <c r="F1326" i="2"/>
  <c r="E1326" i="2"/>
  <c r="D1326" i="2"/>
  <c r="H1325" i="2"/>
  <c r="G1325" i="2"/>
  <c r="F1325" i="2"/>
  <c r="E1325" i="2"/>
  <c r="D1325" i="2"/>
  <c r="H1324" i="2"/>
  <c r="G1324" i="2"/>
  <c r="F1324" i="2"/>
  <c r="E1324" i="2"/>
  <c r="D1324" i="2"/>
  <c r="H1323" i="2"/>
  <c r="G1323" i="2"/>
  <c r="F1323" i="2"/>
  <c r="E1323" i="2"/>
  <c r="D1323" i="2"/>
  <c r="H1322" i="2"/>
  <c r="G1322" i="2"/>
  <c r="F1322" i="2"/>
  <c r="E1322" i="2"/>
  <c r="D1322" i="2"/>
  <c r="H1321" i="2"/>
  <c r="G1321" i="2"/>
  <c r="F1321" i="2"/>
  <c r="E1321" i="2"/>
  <c r="D1321" i="2"/>
  <c r="H1320" i="2"/>
  <c r="G1320" i="2"/>
  <c r="F1320" i="2"/>
  <c r="E1320" i="2"/>
  <c r="D1320" i="2"/>
  <c r="H1319" i="2"/>
  <c r="G1319" i="2"/>
  <c r="F1319" i="2"/>
  <c r="E1319" i="2"/>
  <c r="D1319" i="2"/>
  <c r="H1318" i="2"/>
  <c r="G1318" i="2"/>
  <c r="F1318" i="2"/>
  <c r="E1318" i="2"/>
  <c r="D1318" i="2"/>
  <c r="H1317" i="2"/>
  <c r="G1317" i="2"/>
  <c r="F1317" i="2"/>
  <c r="E1317" i="2"/>
  <c r="D1317" i="2"/>
  <c r="H1316" i="2"/>
  <c r="G1316" i="2"/>
  <c r="F1316" i="2"/>
  <c r="E1316" i="2"/>
  <c r="D1316" i="2"/>
  <c r="H1315" i="2"/>
  <c r="G1315" i="2"/>
  <c r="F1315" i="2"/>
  <c r="E1315" i="2"/>
  <c r="D1315" i="2"/>
  <c r="H1314" i="2"/>
  <c r="G1314" i="2"/>
  <c r="F1314" i="2"/>
  <c r="E1314" i="2"/>
  <c r="D1314" i="2"/>
  <c r="H1313" i="2"/>
  <c r="G1313" i="2"/>
  <c r="F1313" i="2"/>
  <c r="E1313" i="2"/>
  <c r="D1313" i="2"/>
  <c r="H1312" i="2"/>
  <c r="G1312" i="2"/>
  <c r="F1312" i="2"/>
  <c r="E1312" i="2"/>
  <c r="D1312" i="2"/>
  <c r="H1311" i="2"/>
  <c r="G1311" i="2"/>
  <c r="F1311" i="2"/>
  <c r="E1311" i="2"/>
  <c r="D1311" i="2"/>
  <c r="H1310" i="2"/>
  <c r="G1310" i="2"/>
  <c r="F1310" i="2"/>
  <c r="E1310" i="2"/>
  <c r="D1310" i="2"/>
  <c r="H1309" i="2"/>
  <c r="G1309" i="2"/>
  <c r="F1309" i="2"/>
  <c r="E1309" i="2"/>
  <c r="D1309" i="2"/>
  <c r="H1308" i="2"/>
  <c r="G1308" i="2"/>
  <c r="F1308" i="2"/>
  <c r="E1308" i="2"/>
  <c r="D1308" i="2"/>
  <c r="H1307" i="2"/>
  <c r="G1307" i="2"/>
  <c r="F1307" i="2"/>
  <c r="E1307" i="2"/>
  <c r="D1307" i="2"/>
  <c r="H1306" i="2"/>
  <c r="G1306" i="2"/>
  <c r="F1306" i="2"/>
  <c r="E1306" i="2"/>
  <c r="D1306" i="2"/>
  <c r="H1305" i="2"/>
  <c r="G1305" i="2"/>
  <c r="F1305" i="2"/>
  <c r="E1305" i="2"/>
  <c r="D1305" i="2"/>
  <c r="H1304" i="2"/>
  <c r="G1304" i="2"/>
  <c r="F1304" i="2"/>
  <c r="E1304" i="2"/>
  <c r="D1304" i="2"/>
  <c r="H1303" i="2"/>
  <c r="G1303" i="2"/>
  <c r="F1303" i="2"/>
  <c r="E1303" i="2"/>
  <c r="D1303" i="2"/>
  <c r="H1302" i="2"/>
  <c r="G1302" i="2"/>
  <c r="F1302" i="2"/>
  <c r="E1302" i="2"/>
  <c r="D1302" i="2"/>
  <c r="H1301" i="2"/>
  <c r="G1301" i="2"/>
  <c r="F1301" i="2"/>
  <c r="E1301" i="2"/>
  <c r="D1301" i="2"/>
  <c r="H1300" i="2"/>
  <c r="G1300" i="2"/>
  <c r="F1300" i="2"/>
  <c r="E1300" i="2"/>
  <c r="D1300" i="2"/>
  <c r="H1299" i="2"/>
  <c r="G1299" i="2"/>
  <c r="F1299" i="2"/>
  <c r="E1299" i="2"/>
  <c r="D1299" i="2"/>
  <c r="H1298" i="2"/>
  <c r="G1298" i="2"/>
  <c r="F1298" i="2"/>
  <c r="E1298" i="2"/>
  <c r="D1298" i="2"/>
  <c r="H1369" i="2" l="1"/>
  <c r="G1369" i="2"/>
  <c r="F1369" i="2"/>
  <c r="E1369" i="2"/>
  <c r="D1369" i="2"/>
  <c r="H1368" i="2"/>
  <c r="G1368" i="2"/>
  <c r="F1368" i="2"/>
  <c r="E1368" i="2"/>
  <c r="D1368" i="2"/>
  <c r="H1367" i="2"/>
  <c r="G1367" i="2"/>
  <c r="F1367" i="2"/>
  <c r="E1367" i="2"/>
  <c r="D1367" i="2"/>
  <c r="H1366" i="2"/>
  <c r="G1366" i="2"/>
  <c r="F1366" i="2"/>
  <c r="E1366" i="2"/>
  <c r="D1366" i="2"/>
  <c r="H1365" i="2"/>
  <c r="G1365" i="2"/>
  <c r="F1365" i="2"/>
  <c r="E1365" i="2"/>
  <c r="D1365" i="2"/>
  <c r="H1364" i="2"/>
  <c r="G1364" i="2"/>
  <c r="F1364" i="2"/>
  <c r="E1364" i="2"/>
  <c r="D1364" i="2"/>
  <c r="H1363" i="2"/>
  <c r="G1363" i="2"/>
  <c r="F1363" i="2"/>
  <c r="E1363" i="2"/>
  <c r="D1363" i="2"/>
  <c r="H1362" i="2"/>
  <c r="G1362" i="2"/>
  <c r="F1362" i="2"/>
  <c r="E1362" i="2"/>
  <c r="D1362" i="2"/>
  <c r="H1361" i="2"/>
  <c r="G1361" i="2"/>
  <c r="F1361" i="2"/>
  <c r="E1361" i="2"/>
  <c r="D1361" i="2"/>
  <c r="H1360" i="2"/>
  <c r="G1360" i="2"/>
  <c r="F1360" i="2"/>
  <c r="E1360" i="2"/>
  <c r="D1360" i="2"/>
  <c r="H1359" i="2"/>
  <c r="G1359" i="2"/>
  <c r="F1359" i="2"/>
  <c r="E1359" i="2"/>
  <c r="D1359" i="2"/>
  <c r="H1358" i="2"/>
  <c r="G1358" i="2"/>
  <c r="F1358" i="2"/>
  <c r="E1358" i="2"/>
  <c r="D1358" i="2"/>
  <c r="H1357" i="2"/>
  <c r="G1357" i="2"/>
  <c r="F1357" i="2"/>
  <c r="E1357" i="2"/>
  <c r="D1357" i="2"/>
  <c r="H1356" i="2"/>
  <c r="G1356" i="2"/>
  <c r="F1356" i="2"/>
  <c r="E1356" i="2"/>
  <c r="D1356" i="2"/>
  <c r="H1355" i="2"/>
  <c r="G1355" i="2"/>
  <c r="F1355" i="2"/>
  <c r="E1355" i="2"/>
  <c r="D1355" i="2"/>
  <c r="H1354" i="2"/>
  <c r="G1354" i="2"/>
  <c r="F1354" i="2"/>
  <c r="E1354" i="2"/>
  <c r="D1354" i="2"/>
  <c r="H1353" i="2"/>
  <c r="G1353" i="2"/>
  <c r="F1353" i="2"/>
  <c r="E1353" i="2"/>
  <c r="D1353" i="2"/>
  <c r="H1352" i="2"/>
  <c r="G1352" i="2"/>
  <c r="F1352" i="2"/>
  <c r="E1352" i="2"/>
  <c r="D1352" i="2"/>
  <c r="H1351" i="2"/>
  <c r="G1351" i="2"/>
  <c r="F1351" i="2"/>
  <c r="E1351" i="2"/>
  <c r="D1351" i="2"/>
  <c r="H1350" i="2"/>
  <c r="G1350" i="2"/>
  <c r="F1350" i="2"/>
  <c r="E1350" i="2"/>
  <c r="D1350" i="2"/>
  <c r="H1349" i="2"/>
  <c r="G1349" i="2"/>
  <c r="F1349" i="2"/>
  <c r="E1349" i="2"/>
  <c r="D1349" i="2"/>
  <c r="H1348" i="2"/>
  <c r="G1348" i="2"/>
  <c r="F1348" i="2"/>
  <c r="E1348" i="2"/>
  <c r="D1348" i="2"/>
  <c r="H1347" i="2"/>
  <c r="G1347" i="2"/>
  <c r="F1347" i="2"/>
  <c r="E1347" i="2"/>
  <c r="D1347" i="2"/>
  <c r="H1346" i="2"/>
  <c r="G1346" i="2"/>
  <c r="F1346" i="2"/>
  <c r="E1346" i="2"/>
  <c r="D1346" i="2"/>
  <c r="H1345" i="2"/>
  <c r="G1345" i="2"/>
  <c r="F1345" i="2"/>
  <c r="E1345" i="2"/>
  <c r="D1345" i="2"/>
  <c r="H1344" i="2"/>
  <c r="G1344" i="2"/>
  <c r="F1344" i="2"/>
  <c r="E1344" i="2"/>
  <c r="D1344" i="2"/>
  <c r="H1343" i="2"/>
  <c r="G1343" i="2"/>
  <c r="F1343" i="2"/>
  <c r="E1343" i="2"/>
  <c r="D1343" i="2"/>
  <c r="H1342" i="2"/>
  <c r="G1342" i="2"/>
  <c r="F1342" i="2"/>
  <c r="E1342" i="2"/>
  <c r="D1342" i="2"/>
  <c r="H1341" i="2"/>
  <c r="G1341" i="2"/>
  <c r="F1341" i="2"/>
  <c r="E1341" i="2"/>
  <c r="D1341" i="2"/>
  <c r="H1412" i="2" l="1"/>
  <c r="G1412" i="2"/>
  <c r="F1412" i="2"/>
  <c r="E1412" i="2"/>
  <c r="D1412" i="2"/>
  <c r="H1411" i="2"/>
  <c r="G1411" i="2"/>
  <c r="F1411" i="2"/>
  <c r="E1411" i="2"/>
  <c r="D1411" i="2"/>
  <c r="H1410" i="2"/>
  <c r="G1410" i="2"/>
  <c r="F1410" i="2"/>
  <c r="E1410" i="2"/>
  <c r="D1410" i="2"/>
  <c r="H1409" i="2"/>
  <c r="G1409" i="2"/>
  <c r="F1409" i="2"/>
  <c r="E1409" i="2"/>
  <c r="D1409" i="2"/>
  <c r="H1408" i="2"/>
  <c r="G1408" i="2"/>
  <c r="F1408" i="2"/>
  <c r="E1408" i="2"/>
  <c r="D1408" i="2"/>
  <c r="H1407" i="2"/>
  <c r="G1407" i="2"/>
  <c r="F1407" i="2"/>
  <c r="E1407" i="2"/>
  <c r="D1407" i="2"/>
  <c r="H1406" i="2"/>
  <c r="G1406" i="2"/>
  <c r="F1406" i="2"/>
  <c r="E1406" i="2"/>
  <c r="D1406" i="2"/>
  <c r="H1405" i="2"/>
  <c r="G1405" i="2"/>
  <c r="F1405" i="2"/>
  <c r="E1405" i="2"/>
  <c r="D1405" i="2"/>
  <c r="H1404" i="2"/>
  <c r="G1404" i="2"/>
  <c r="F1404" i="2"/>
  <c r="E1404" i="2"/>
  <c r="D1404" i="2"/>
  <c r="H1403" i="2"/>
  <c r="G1403" i="2"/>
  <c r="F1403" i="2"/>
  <c r="E1403" i="2"/>
  <c r="D1403" i="2"/>
  <c r="H1402" i="2"/>
  <c r="G1402" i="2"/>
  <c r="F1402" i="2"/>
  <c r="E1402" i="2"/>
  <c r="D1402" i="2"/>
  <c r="H1401" i="2"/>
  <c r="G1401" i="2"/>
  <c r="F1401" i="2"/>
  <c r="E1401" i="2"/>
  <c r="D1401" i="2"/>
  <c r="H1400" i="2"/>
  <c r="G1400" i="2"/>
  <c r="F1400" i="2"/>
  <c r="E1400" i="2"/>
  <c r="D1400" i="2"/>
  <c r="H1399" i="2"/>
  <c r="G1399" i="2"/>
  <c r="F1399" i="2"/>
  <c r="E1399" i="2"/>
  <c r="D1399" i="2"/>
  <c r="H1398" i="2"/>
  <c r="G1398" i="2"/>
  <c r="F1398" i="2"/>
  <c r="E1398" i="2"/>
  <c r="D1398" i="2"/>
  <c r="H1397" i="2"/>
  <c r="G1397" i="2"/>
  <c r="F1397" i="2"/>
  <c r="E1397" i="2"/>
  <c r="D1397" i="2"/>
  <c r="H1396" i="2"/>
  <c r="G1396" i="2"/>
  <c r="F1396" i="2"/>
  <c r="E1396" i="2"/>
  <c r="D1396" i="2"/>
  <c r="H1395" i="2"/>
  <c r="G1395" i="2"/>
  <c r="F1395" i="2"/>
  <c r="E1395" i="2"/>
  <c r="D1395" i="2"/>
  <c r="H1394" i="2"/>
  <c r="G1394" i="2"/>
  <c r="F1394" i="2"/>
  <c r="E1394" i="2"/>
  <c r="D1394" i="2"/>
  <c r="H1393" i="2"/>
  <c r="G1393" i="2"/>
  <c r="F1393" i="2"/>
  <c r="E1393" i="2"/>
  <c r="D1393" i="2"/>
  <c r="H1392" i="2"/>
  <c r="G1392" i="2"/>
  <c r="F1392" i="2"/>
  <c r="E1392" i="2"/>
  <c r="D1392" i="2"/>
  <c r="H1391" i="2"/>
  <c r="G1391" i="2"/>
  <c r="F1391" i="2"/>
  <c r="E1391" i="2"/>
  <c r="D1391" i="2"/>
  <c r="H1390" i="2"/>
  <c r="G1390" i="2"/>
  <c r="F1390" i="2"/>
  <c r="E1390" i="2"/>
  <c r="D1390" i="2"/>
  <c r="H1389" i="2"/>
  <c r="G1389" i="2"/>
  <c r="F1389" i="2"/>
  <c r="E1389" i="2"/>
  <c r="D1389" i="2"/>
  <c r="H1388" i="2"/>
  <c r="G1388" i="2"/>
  <c r="F1388" i="2"/>
  <c r="E1388" i="2"/>
  <c r="D1388" i="2"/>
  <c r="H1387" i="2"/>
  <c r="G1387" i="2"/>
  <c r="F1387" i="2"/>
  <c r="E1387" i="2"/>
  <c r="D1387" i="2"/>
  <c r="H1386" i="2"/>
  <c r="G1386" i="2"/>
  <c r="F1386" i="2"/>
  <c r="E1386" i="2"/>
  <c r="D1386" i="2"/>
  <c r="H1385" i="2"/>
  <c r="G1385" i="2"/>
  <c r="F1385" i="2"/>
  <c r="E1385" i="2"/>
  <c r="D1385" i="2"/>
  <c r="H1384" i="2"/>
  <c r="G1384" i="2"/>
  <c r="F1384" i="2"/>
  <c r="E1384" i="2"/>
  <c r="D1384" i="2"/>
  <c r="H1455" i="2" l="1"/>
  <c r="G1455" i="2"/>
  <c r="F1455" i="2"/>
  <c r="E1455" i="2"/>
  <c r="D1455" i="2"/>
  <c r="H1454" i="2"/>
  <c r="G1454" i="2"/>
  <c r="F1454" i="2"/>
  <c r="E1454" i="2"/>
  <c r="D1454" i="2"/>
  <c r="H1453" i="2"/>
  <c r="G1453" i="2"/>
  <c r="F1453" i="2"/>
  <c r="E1453" i="2"/>
  <c r="D1453" i="2"/>
  <c r="H1452" i="2"/>
  <c r="G1452" i="2"/>
  <c r="F1452" i="2"/>
  <c r="E1452" i="2"/>
  <c r="D1452" i="2"/>
  <c r="H1451" i="2"/>
  <c r="G1451" i="2"/>
  <c r="F1451" i="2"/>
  <c r="E1451" i="2"/>
  <c r="D1451" i="2"/>
  <c r="H1450" i="2"/>
  <c r="G1450" i="2"/>
  <c r="F1450" i="2"/>
  <c r="E1450" i="2"/>
  <c r="D1450" i="2"/>
  <c r="H1449" i="2"/>
  <c r="G1449" i="2"/>
  <c r="F1449" i="2"/>
  <c r="E1449" i="2"/>
  <c r="D1449" i="2"/>
  <c r="H1448" i="2"/>
  <c r="G1448" i="2"/>
  <c r="F1448" i="2"/>
  <c r="E1448" i="2"/>
  <c r="D1448" i="2"/>
  <c r="H1447" i="2"/>
  <c r="G1447" i="2"/>
  <c r="F1447" i="2"/>
  <c r="E1447" i="2"/>
  <c r="D1447" i="2"/>
  <c r="H1446" i="2"/>
  <c r="G1446" i="2"/>
  <c r="F1446" i="2"/>
  <c r="E1446" i="2"/>
  <c r="D1446" i="2"/>
  <c r="H1445" i="2"/>
  <c r="G1445" i="2"/>
  <c r="F1445" i="2"/>
  <c r="E1445" i="2"/>
  <c r="D1445" i="2"/>
  <c r="H1444" i="2"/>
  <c r="G1444" i="2"/>
  <c r="F1444" i="2"/>
  <c r="E1444" i="2"/>
  <c r="D1444" i="2"/>
  <c r="H1443" i="2"/>
  <c r="G1443" i="2"/>
  <c r="F1443" i="2"/>
  <c r="E1443" i="2"/>
  <c r="D1443" i="2"/>
  <c r="H1442" i="2"/>
  <c r="G1442" i="2"/>
  <c r="F1442" i="2"/>
  <c r="E1442" i="2"/>
  <c r="D1442" i="2"/>
  <c r="H1441" i="2"/>
  <c r="G1441" i="2"/>
  <c r="F1441" i="2"/>
  <c r="E1441" i="2"/>
  <c r="D1441" i="2"/>
  <c r="H1440" i="2"/>
  <c r="G1440" i="2"/>
  <c r="F1440" i="2"/>
  <c r="E1440" i="2"/>
  <c r="D1440" i="2"/>
  <c r="H1439" i="2"/>
  <c r="G1439" i="2"/>
  <c r="F1439" i="2"/>
  <c r="E1439" i="2"/>
  <c r="D1439" i="2"/>
  <c r="H1438" i="2"/>
  <c r="G1438" i="2"/>
  <c r="F1438" i="2"/>
  <c r="E1438" i="2"/>
  <c r="D1438" i="2"/>
  <c r="H1437" i="2"/>
  <c r="G1437" i="2"/>
  <c r="F1437" i="2"/>
  <c r="E1437" i="2"/>
  <c r="D1437" i="2"/>
  <c r="H1436" i="2"/>
  <c r="G1436" i="2"/>
  <c r="F1436" i="2"/>
  <c r="E1436" i="2"/>
  <c r="D1436" i="2"/>
  <c r="H1435" i="2"/>
  <c r="G1435" i="2"/>
  <c r="F1435" i="2"/>
  <c r="E1435" i="2"/>
  <c r="D1435" i="2"/>
  <c r="H1434" i="2"/>
  <c r="G1434" i="2"/>
  <c r="F1434" i="2"/>
  <c r="E1434" i="2"/>
  <c r="D1434" i="2"/>
  <c r="H1433" i="2"/>
  <c r="G1433" i="2"/>
  <c r="F1433" i="2"/>
  <c r="E1433" i="2"/>
  <c r="D1433" i="2"/>
  <c r="H1432" i="2"/>
  <c r="G1432" i="2"/>
  <c r="F1432" i="2"/>
  <c r="E1432" i="2"/>
  <c r="D1432" i="2"/>
  <c r="H1431" i="2"/>
  <c r="G1431" i="2"/>
  <c r="F1431" i="2"/>
  <c r="E1431" i="2"/>
  <c r="D1431" i="2"/>
  <c r="H1430" i="2"/>
  <c r="G1430" i="2"/>
  <c r="F1430" i="2"/>
  <c r="E1430" i="2"/>
  <c r="D1430" i="2"/>
  <c r="H1429" i="2"/>
  <c r="G1429" i="2"/>
  <c r="F1429" i="2"/>
  <c r="E1429" i="2"/>
  <c r="D1429" i="2"/>
  <c r="H1428" i="2"/>
  <c r="G1428" i="2"/>
  <c r="F1428" i="2"/>
  <c r="E1428" i="2"/>
  <c r="D1428" i="2"/>
  <c r="H1427" i="2"/>
  <c r="G1427" i="2"/>
  <c r="F1427" i="2"/>
  <c r="E1427" i="2"/>
  <c r="D1427" i="2"/>
  <c r="H1498" i="2" l="1"/>
  <c r="G1498" i="2"/>
  <c r="F1498" i="2"/>
  <c r="E1498" i="2"/>
  <c r="D1498" i="2"/>
  <c r="H1497" i="2"/>
  <c r="G1497" i="2"/>
  <c r="F1497" i="2"/>
  <c r="E1497" i="2"/>
  <c r="D1497" i="2"/>
  <c r="H1496" i="2"/>
  <c r="G1496" i="2"/>
  <c r="F1496" i="2"/>
  <c r="E1496" i="2"/>
  <c r="D1496" i="2"/>
  <c r="H1495" i="2"/>
  <c r="G1495" i="2"/>
  <c r="F1495" i="2"/>
  <c r="E1495" i="2"/>
  <c r="D1495" i="2"/>
  <c r="H1494" i="2"/>
  <c r="G1494" i="2"/>
  <c r="F1494" i="2"/>
  <c r="E1494" i="2"/>
  <c r="D1494" i="2"/>
  <c r="H1493" i="2"/>
  <c r="G1493" i="2"/>
  <c r="F1493" i="2"/>
  <c r="E1493" i="2"/>
  <c r="D1493" i="2"/>
  <c r="H1492" i="2"/>
  <c r="G1492" i="2"/>
  <c r="F1492" i="2"/>
  <c r="E1492" i="2"/>
  <c r="D1492" i="2"/>
  <c r="H1491" i="2"/>
  <c r="G1491" i="2"/>
  <c r="F1491" i="2"/>
  <c r="E1491" i="2"/>
  <c r="D1491" i="2"/>
  <c r="H1490" i="2"/>
  <c r="G1490" i="2"/>
  <c r="F1490" i="2"/>
  <c r="E1490" i="2"/>
  <c r="D1490" i="2"/>
  <c r="H1489" i="2"/>
  <c r="G1489" i="2"/>
  <c r="F1489" i="2"/>
  <c r="E1489" i="2"/>
  <c r="D1489" i="2"/>
  <c r="H1488" i="2"/>
  <c r="G1488" i="2"/>
  <c r="F1488" i="2"/>
  <c r="E1488" i="2"/>
  <c r="D1488" i="2"/>
  <c r="H1487" i="2"/>
  <c r="G1487" i="2"/>
  <c r="F1487" i="2"/>
  <c r="E1487" i="2"/>
  <c r="D1487" i="2"/>
  <c r="H1486" i="2"/>
  <c r="G1486" i="2"/>
  <c r="F1486" i="2"/>
  <c r="E1486" i="2"/>
  <c r="D1486" i="2"/>
  <c r="H1485" i="2"/>
  <c r="G1485" i="2"/>
  <c r="F1485" i="2"/>
  <c r="E1485" i="2"/>
  <c r="D1485" i="2"/>
  <c r="H1484" i="2"/>
  <c r="G1484" i="2"/>
  <c r="F1484" i="2"/>
  <c r="E1484" i="2"/>
  <c r="D1484" i="2"/>
  <c r="H1483" i="2"/>
  <c r="G1483" i="2"/>
  <c r="F1483" i="2"/>
  <c r="E1483" i="2"/>
  <c r="D1483" i="2"/>
  <c r="H1482" i="2"/>
  <c r="G1482" i="2"/>
  <c r="F1482" i="2"/>
  <c r="E1482" i="2"/>
  <c r="D1482" i="2"/>
  <c r="H1481" i="2"/>
  <c r="G1481" i="2"/>
  <c r="F1481" i="2"/>
  <c r="E1481" i="2"/>
  <c r="D1481" i="2"/>
  <c r="H1480" i="2"/>
  <c r="G1480" i="2"/>
  <c r="F1480" i="2"/>
  <c r="E1480" i="2"/>
  <c r="D1480" i="2"/>
  <c r="H1479" i="2"/>
  <c r="G1479" i="2"/>
  <c r="F1479" i="2"/>
  <c r="E1479" i="2"/>
  <c r="D1479" i="2"/>
  <c r="H1478" i="2"/>
  <c r="G1478" i="2"/>
  <c r="F1478" i="2"/>
  <c r="E1478" i="2"/>
  <c r="D1478" i="2"/>
  <c r="H1477" i="2"/>
  <c r="G1477" i="2"/>
  <c r="F1477" i="2"/>
  <c r="E1477" i="2"/>
  <c r="D1477" i="2"/>
  <c r="H1476" i="2"/>
  <c r="G1476" i="2"/>
  <c r="F1476" i="2"/>
  <c r="E1476" i="2"/>
  <c r="D1476" i="2"/>
  <c r="H1475" i="2"/>
  <c r="G1475" i="2"/>
  <c r="F1475" i="2"/>
  <c r="E1475" i="2"/>
  <c r="D1475" i="2"/>
  <c r="H1474" i="2"/>
  <c r="G1474" i="2"/>
  <c r="F1474" i="2"/>
  <c r="E1474" i="2"/>
  <c r="D1474" i="2"/>
  <c r="H1473" i="2"/>
  <c r="G1473" i="2"/>
  <c r="F1473" i="2"/>
  <c r="E1473" i="2"/>
  <c r="D1473" i="2"/>
  <c r="H1472" i="2"/>
  <c r="G1472" i="2"/>
  <c r="F1472" i="2"/>
  <c r="E1472" i="2"/>
  <c r="D1472" i="2"/>
  <c r="H1471" i="2"/>
  <c r="G1471" i="2"/>
  <c r="F1471" i="2"/>
  <c r="E1471" i="2"/>
  <c r="D1471" i="2"/>
  <c r="H1470" i="2"/>
  <c r="G1470" i="2"/>
  <c r="F1470" i="2"/>
  <c r="E1470" i="2"/>
  <c r="D1470" i="2"/>
  <c r="H1541" i="2" l="1"/>
  <c r="G1541" i="2"/>
  <c r="F1541" i="2"/>
  <c r="E1541" i="2"/>
  <c r="D1541" i="2"/>
  <c r="H1540" i="2"/>
  <c r="G1540" i="2"/>
  <c r="F1540" i="2"/>
  <c r="E1540" i="2"/>
  <c r="D1540" i="2"/>
  <c r="H1539" i="2"/>
  <c r="G1539" i="2"/>
  <c r="F1539" i="2"/>
  <c r="E1539" i="2"/>
  <c r="D1539" i="2"/>
  <c r="H1538" i="2"/>
  <c r="G1538" i="2"/>
  <c r="F1538" i="2"/>
  <c r="E1538" i="2"/>
  <c r="D1538" i="2"/>
  <c r="H1537" i="2"/>
  <c r="G1537" i="2"/>
  <c r="F1537" i="2"/>
  <c r="E1537" i="2"/>
  <c r="D1537" i="2"/>
  <c r="H1536" i="2"/>
  <c r="G1536" i="2"/>
  <c r="F1536" i="2"/>
  <c r="E1536" i="2"/>
  <c r="D1536" i="2"/>
  <c r="H1535" i="2"/>
  <c r="G1535" i="2"/>
  <c r="F1535" i="2"/>
  <c r="E1535" i="2"/>
  <c r="D1535" i="2"/>
  <c r="H1534" i="2"/>
  <c r="G1534" i="2"/>
  <c r="F1534" i="2"/>
  <c r="E1534" i="2"/>
  <c r="D1534" i="2"/>
  <c r="H1533" i="2"/>
  <c r="G1533" i="2"/>
  <c r="F1533" i="2"/>
  <c r="E1533" i="2"/>
  <c r="D1533" i="2"/>
  <c r="H1532" i="2"/>
  <c r="G1532" i="2"/>
  <c r="F1532" i="2"/>
  <c r="E1532" i="2"/>
  <c r="D1532" i="2"/>
  <c r="H1531" i="2"/>
  <c r="G1531" i="2"/>
  <c r="F1531" i="2"/>
  <c r="E1531" i="2"/>
  <c r="D1531" i="2"/>
  <c r="H1530" i="2"/>
  <c r="G1530" i="2"/>
  <c r="F1530" i="2"/>
  <c r="E1530" i="2"/>
  <c r="D1530" i="2"/>
  <c r="H1529" i="2"/>
  <c r="G1529" i="2"/>
  <c r="F1529" i="2"/>
  <c r="E1529" i="2"/>
  <c r="D1529" i="2"/>
  <c r="H1528" i="2"/>
  <c r="G1528" i="2"/>
  <c r="F1528" i="2"/>
  <c r="E1528" i="2"/>
  <c r="D1528" i="2"/>
  <c r="H1527" i="2"/>
  <c r="G1527" i="2"/>
  <c r="F1527" i="2"/>
  <c r="E1527" i="2"/>
  <c r="D1527" i="2"/>
  <c r="H1526" i="2"/>
  <c r="G1526" i="2"/>
  <c r="F1526" i="2"/>
  <c r="E1526" i="2"/>
  <c r="D1526" i="2"/>
  <c r="H1525" i="2"/>
  <c r="G1525" i="2"/>
  <c r="F1525" i="2"/>
  <c r="E1525" i="2"/>
  <c r="D1525" i="2"/>
  <c r="H1524" i="2"/>
  <c r="G1524" i="2"/>
  <c r="F1524" i="2"/>
  <c r="E1524" i="2"/>
  <c r="D1524" i="2"/>
  <c r="H1523" i="2"/>
  <c r="G1523" i="2"/>
  <c r="F1523" i="2"/>
  <c r="E1523" i="2"/>
  <c r="D1523" i="2"/>
  <c r="H1522" i="2"/>
  <c r="G1522" i="2"/>
  <c r="F1522" i="2"/>
  <c r="E1522" i="2"/>
  <c r="D1522" i="2"/>
  <c r="H1521" i="2"/>
  <c r="G1521" i="2"/>
  <c r="F1521" i="2"/>
  <c r="E1521" i="2"/>
  <c r="D1521" i="2"/>
  <c r="H1520" i="2"/>
  <c r="G1520" i="2"/>
  <c r="F1520" i="2"/>
  <c r="E1520" i="2"/>
  <c r="D1520" i="2"/>
  <c r="H1519" i="2"/>
  <c r="G1519" i="2"/>
  <c r="F1519" i="2"/>
  <c r="E1519" i="2"/>
  <c r="D1519" i="2"/>
  <c r="H1518" i="2"/>
  <c r="G1518" i="2"/>
  <c r="F1518" i="2"/>
  <c r="E1518" i="2"/>
  <c r="D1518" i="2"/>
  <c r="H1517" i="2"/>
  <c r="G1517" i="2"/>
  <c r="F1517" i="2"/>
  <c r="E1517" i="2"/>
  <c r="D1517" i="2"/>
  <c r="H1516" i="2"/>
  <c r="G1516" i="2"/>
  <c r="F1516" i="2"/>
  <c r="E1516" i="2"/>
  <c r="D1516" i="2"/>
  <c r="H1515" i="2"/>
  <c r="G1515" i="2"/>
  <c r="F1515" i="2"/>
  <c r="E1515" i="2"/>
  <c r="D1515" i="2"/>
  <c r="H1514" i="2"/>
  <c r="G1514" i="2"/>
  <c r="F1514" i="2"/>
  <c r="E1514" i="2"/>
  <c r="D1514" i="2"/>
  <c r="H1513" i="2"/>
  <c r="G1513" i="2"/>
  <c r="F1513" i="2"/>
  <c r="E1513" i="2"/>
  <c r="D1513" i="2"/>
  <c r="H1584" i="2" l="1"/>
  <c r="G1584" i="2"/>
  <c r="F1584" i="2"/>
  <c r="E1584" i="2"/>
  <c r="D1584" i="2"/>
  <c r="H1583" i="2"/>
  <c r="G1583" i="2"/>
  <c r="F1583" i="2"/>
  <c r="E1583" i="2"/>
  <c r="D1583" i="2"/>
  <c r="H1582" i="2"/>
  <c r="G1582" i="2"/>
  <c r="F1582" i="2"/>
  <c r="E1582" i="2"/>
  <c r="D1582" i="2"/>
  <c r="H1581" i="2"/>
  <c r="G1581" i="2"/>
  <c r="F1581" i="2"/>
  <c r="E1581" i="2"/>
  <c r="D1581" i="2"/>
  <c r="H1580" i="2"/>
  <c r="G1580" i="2"/>
  <c r="F1580" i="2"/>
  <c r="E1580" i="2"/>
  <c r="D1580" i="2"/>
  <c r="H1579" i="2"/>
  <c r="G1579" i="2"/>
  <c r="F1579" i="2"/>
  <c r="E1579" i="2"/>
  <c r="D1579" i="2"/>
  <c r="H1578" i="2"/>
  <c r="G1578" i="2"/>
  <c r="F1578" i="2"/>
  <c r="E1578" i="2"/>
  <c r="D1578" i="2"/>
  <c r="H1577" i="2"/>
  <c r="G1577" i="2"/>
  <c r="F1577" i="2"/>
  <c r="E1577" i="2"/>
  <c r="D1577" i="2"/>
  <c r="H1576" i="2"/>
  <c r="G1576" i="2"/>
  <c r="F1576" i="2"/>
  <c r="E1576" i="2"/>
  <c r="D1576" i="2"/>
  <c r="H1575" i="2"/>
  <c r="G1575" i="2"/>
  <c r="F1575" i="2"/>
  <c r="E1575" i="2"/>
  <c r="D1575" i="2"/>
  <c r="H1574" i="2"/>
  <c r="G1574" i="2"/>
  <c r="F1574" i="2"/>
  <c r="E1574" i="2"/>
  <c r="D1574" i="2"/>
  <c r="H1573" i="2"/>
  <c r="G1573" i="2"/>
  <c r="F1573" i="2"/>
  <c r="E1573" i="2"/>
  <c r="D1573" i="2"/>
  <c r="H1572" i="2"/>
  <c r="G1572" i="2"/>
  <c r="F1572" i="2"/>
  <c r="E1572" i="2"/>
  <c r="D1572" i="2"/>
  <c r="H1571" i="2"/>
  <c r="G1571" i="2"/>
  <c r="F1571" i="2"/>
  <c r="E1571" i="2"/>
  <c r="D1571" i="2"/>
  <c r="H1570" i="2"/>
  <c r="G1570" i="2"/>
  <c r="F1570" i="2"/>
  <c r="E1570" i="2"/>
  <c r="D1570" i="2"/>
  <c r="H1569" i="2"/>
  <c r="G1569" i="2"/>
  <c r="F1569" i="2"/>
  <c r="E1569" i="2"/>
  <c r="D1569" i="2"/>
  <c r="H1568" i="2"/>
  <c r="G1568" i="2"/>
  <c r="F1568" i="2"/>
  <c r="E1568" i="2"/>
  <c r="D1568" i="2"/>
  <c r="H1567" i="2"/>
  <c r="G1567" i="2"/>
  <c r="F1567" i="2"/>
  <c r="E1567" i="2"/>
  <c r="D1567" i="2"/>
  <c r="H1566" i="2"/>
  <c r="G1566" i="2"/>
  <c r="F1566" i="2"/>
  <c r="E1566" i="2"/>
  <c r="D1566" i="2"/>
  <c r="H1565" i="2"/>
  <c r="G1565" i="2"/>
  <c r="F1565" i="2"/>
  <c r="E1565" i="2"/>
  <c r="D1565" i="2"/>
  <c r="H1564" i="2"/>
  <c r="G1564" i="2"/>
  <c r="F1564" i="2"/>
  <c r="E1564" i="2"/>
  <c r="D1564" i="2"/>
  <c r="H1563" i="2"/>
  <c r="G1563" i="2"/>
  <c r="F1563" i="2"/>
  <c r="E1563" i="2"/>
  <c r="D1563" i="2"/>
  <c r="H1562" i="2"/>
  <c r="G1562" i="2"/>
  <c r="F1562" i="2"/>
  <c r="E1562" i="2"/>
  <c r="D1562" i="2"/>
  <c r="H1561" i="2"/>
  <c r="G1561" i="2"/>
  <c r="F1561" i="2"/>
  <c r="E1561" i="2"/>
  <c r="D1561" i="2"/>
  <c r="H1560" i="2"/>
  <c r="G1560" i="2"/>
  <c r="F1560" i="2"/>
  <c r="E1560" i="2"/>
  <c r="D1560" i="2"/>
  <c r="H1559" i="2"/>
  <c r="G1559" i="2"/>
  <c r="F1559" i="2"/>
  <c r="E1559" i="2"/>
  <c r="D1559" i="2"/>
  <c r="H1558" i="2"/>
  <c r="G1558" i="2"/>
  <c r="F1558" i="2"/>
  <c r="E1558" i="2"/>
  <c r="D1558" i="2"/>
  <c r="H1557" i="2"/>
  <c r="G1557" i="2"/>
  <c r="F1557" i="2"/>
  <c r="E1557" i="2"/>
  <c r="D1557" i="2"/>
  <c r="H1556" i="2"/>
  <c r="G1556" i="2"/>
  <c r="F1556" i="2"/>
  <c r="E1556" i="2"/>
  <c r="D1556" i="2"/>
  <c r="H1627" i="2" l="1"/>
  <c r="G1627" i="2"/>
  <c r="F1627" i="2"/>
  <c r="E1627" i="2"/>
  <c r="D1627" i="2"/>
  <c r="H1626" i="2"/>
  <c r="G1626" i="2"/>
  <c r="F1626" i="2"/>
  <c r="E1626" i="2"/>
  <c r="D1626" i="2"/>
  <c r="H1625" i="2"/>
  <c r="G1625" i="2"/>
  <c r="F1625" i="2"/>
  <c r="E1625" i="2"/>
  <c r="D1625" i="2"/>
  <c r="H1624" i="2"/>
  <c r="G1624" i="2"/>
  <c r="F1624" i="2"/>
  <c r="E1624" i="2"/>
  <c r="D1624" i="2"/>
  <c r="H1623" i="2"/>
  <c r="G1623" i="2"/>
  <c r="F1623" i="2"/>
  <c r="E1623" i="2"/>
  <c r="D1623" i="2"/>
  <c r="H1622" i="2"/>
  <c r="G1622" i="2"/>
  <c r="F1622" i="2"/>
  <c r="E1622" i="2"/>
  <c r="D1622" i="2"/>
  <c r="H1621" i="2"/>
  <c r="G1621" i="2"/>
  <c r="F1621" i="2"/>
  <c r="E1621" i="2"/>
  <c r="D1621" i="2"/>
  <c r="H1620" i="2"/>
  <c r="G1620" i="2"/>
  <c r="F1620" i="2"/>
  <c r="E1620" i="2"/>
  <c r="D1620" i="2"/>
  <c r="H1619" i="2"/>
  <c r="G1619" i="2"/>
  <c r="F1619" i="2"/>
  <c r="E1619" i="2"/>
  <c r="D1619" i="2"/>
  <c r="H1618" i="2"/>
  <c r="G1618" i="2"/>
  <c r="F1618" i="2"/>
  <c r="E1618" i="2"/>
  <c r="D1618" i="2"/>
  <c r="H1617" i="2"/>
  <c r="G1617" i="2"/>
  <c r="F1617" i="2"/>
  <c r="E1617" i="2"/>
  <c r="D1617" i="2"/>
  <c r="H1616" i="2"/>
  <c r="G1616" i="2"/>
  <c r="F1616" i="2"/>
  <c r="E1616" i="2"/>
  <c r="D1616" i="2"/>
  <c r="H1615" i="2"/>
  <c r="G1615" i="2"/>
  <c r="F1615" i="2"/>
  <c r="E1615" i="2"/>
  <c r="D1615" i="2"/>
  <c r="H1614" i="2"/>
  <c r="G1614" i="2"/>
  <c r="F1614" i="2"/>
  <c r="E1614" i="2"/>
  <c r="D1614" i="2"/>
  <c r="H1613" i="2"/>
  <c r="G1613" i="2"/>
  <c r="F1613" i="2"/>
  <c r="E1613" i="2"/>
  <c r="D1613" i="2"/>
  <c r="H1612" i="2"/>
  <c r="G1612" i="2"/>
  <c r="F1612" i="2"/>
  <c r="E1612" i="2"/>
  <c r="D1612" i="2"/>
  <c r="H1611" i="2"/>
  <c r="G1611" i="2"/>
  <c r="F1611" i="2"/>
  <c r="E1611" i="2"/>
  <c r="D1611" i="2"/>
  <c r="H1610" i="2"/>
  <c r="G1610" i="2"/>
  <c r="F1610" i="2"/>
  <c r="E1610" i="2"/>
  <c r="D1610" i="2"/>
  <c r="H1609" i="2"/>
  <c r="G1609" i="2"/>
  <c r="F1609" i="2"/>
  <c r="E1609" i="2"/>
  <c r="D1609" i="2"/>
  <c r="H1608" i="2"/>
  <c r="G1608" i="2"/>
  <c r="F1608" i="2"/>
  <c r="E1608" i="2"/>
  <c r="D1608" i="2"/>
  <c r="H1607" i="2"/>
  <c r="G1607" i="2"/>
  <c r="F1607" i="2"/>
  <c r="E1607" i="2"/>
  <c r="D1607" i="2"/>
  <c r="H1606" i="2"/>
  <c r="G1606" i="2"/>
  <c r="F1606" i="2"/>
  <c r="E1606" i="2"/>
  <c r="D1606" i="2"/>
  <c r="H1605" i="2"/>
  <c r="G1605" i="2"/>
  <c r="F1605" i="2"/>
  <c r="E1605" i="2"/>
  <c r="D1605" i="2"/>
  <c r="H1604" i="2"/>
  <c r="G1604" i="2"/>
  <c r="F1604" i="2"/>
  <c r="E1604" i="2"/>
  <c r="D1604" i="2"/>
  <c r="H1603" i="2"/>
  <c r="G1603" i="2"/>
  <c r="F1603" i="2"/>
  <c r="E1603" i="2"/>
  <c r="D1603" i="2"/>
  <c r="H1602" i="2"/>
  <c r="G1602" i="2"/>
  <c r="F1602" i="2"/>
  <c r="E1602" i="2"/>
  <c r="D1602" i="2"/>
  <c r="H1601" i="2"/>
  <c r="G1601" i="2"/>
  <c r="F1601" i="2"/>
  <c r="E1601" i="2"/>
  <c r="D1601" i="2"/>
  <c r="H1600" i="2"/>
  <c r="G1600" i="2"/>
  <c r="F1600" i="2"/>
  <c r="E1600" i="2"/>
  <c r="D1600" i="2"/>
  <c r="H1599" i="2"/>
  <c r="G1599" i="2"/>
  <c r="F1599" i="2"/>
  <c r="E1599" i="2"/>
  <c r="D1599" i="2"/>
  <c r="H1670" i="2" l="1"/>
  <c r="G1670" i="2"/>
  <c r="F1670" i="2"/>
  <c r="E1670" i="2"/>
  <c r="D1670" i="2"/>
  <c r="H1669" i="2"/>
  <c r="G1669" i="2"/>
  <c r="F1669" i="2"/>
  <c r="E1669" i="2"/>
  <c r="D1669" i="2"/>
  <c r="H1668" i="2"/>
  <c r="G1668" i="2"/>
  <c r="F1668" i="2"/>
  <c r="E1668" i="2"/>
  <c r="D1668" i="2"/>
  <c r="H1667" i="2"/>
  <c r="G1667" i="2"/>
  <c r="F1667" i="2"/>
  <c r="E1667" i="2"/>
  <c r="D1667" i="2"/>
  <c r="H1666" i="2"/>
  <c r="G1666" i="2"/>
  <c r="F1666" i="2"/>
  <c r="E1666" i="2"/>
  <c r="D1666" i="2"/>
  <c r="H1665" i="2"/>
  <c r="G1665" i="2"/>
  <c r="F1665" i="2"/>
  <c r="E1665" i="2"/>
  <c r="D1665" i="2"/>
  <c r="H1664" i="2"/>
  <c r="G1664" i="2"/>
  <c r="F1664" i="2"/>
  <c r="E1664" i="2"/>
  <c r="D1664" i="2"/>
  <c r="H1663" i="2"/>
  <c r="G1663" i="2"/>
  <c r="F1663" i="2"/>
  <c r="E1663" i="2"/>
  <c r="D1663" i="2"/>
  <c r="H1662" i="2"/>
  <c r="G1662" i="2"/>
  <c r="F1662" i="2"/>
  <c r="E1662" i="2"/>
  <c r="D1662" i="2"/>
  <c r="H1661" i="2"/>
  <c r="G1661" i="2"/>
  <c r="F1661" i="2"/>
  <c r="E1661" i="2"/>
  <c r="D1661" i="2"/>
  <c r="H1660" i="2"/>
  <c r="G1660" i="2"/>
  <c r="F1660" i="2"/>
  <c r="E1660" i="2"/>
  <c r="D1660" i="2"/>
  <c r="H1659" i="2"/>
  <c r="G1659" i="2"/>
  <c r="F1659" i="2"/>
  <c r="E1659" i="2"/>
  <c r="D1659" i="2"/>
  <c r="H1658" i="2"/>
  <c r="G1658" i="2"/>
  <c r="F1658" i="2"/>
  <c r="E1658" i="2"/>
  <c r="D1658" i="2"/>
  <c r="H1657" i="2"/>
  <c r="G1657" i="2"/>
  <c r="F1657" i="2"/>
  <c r="E1657" i="2"/>
  <c r="D1657" i="2"/>
  <c r="H1656" i="2"/>
  <c r="G1656" i="2"/>
  <c r="F1656" i="2"/>
  <c r="E1656" i="2"/>
  <c r="D1656" i="2"/>
  <c r="H1655" i="2"/>
  <c r="G1655" i="2"/>
  <c r="F1655" i="2"/>
  <c r="E1655" i="2"/>
  <c r="D1655" i="2"/>
  <c r="H1654" i="2"/>
  <c r="G1654" i="2"/>
  <c r="F1654" i="2"/>
  <c r="E1654" i="2"/>
  <c r="D1654" i="2"/>
  <c r="H1653" i="2"/>
  <c r="G1653" i="2"/>
  <c r="F1653" i="2"/>
  <c r="E1653" i="2"/>
  <c r="D1653" i="2"/>
  <c r="H1652" i="2"/>
  <c r="G1652" i="2"/>
  <c r="F1652" i="2"/>
  <c r="E1652" i="2"/>
  <c r="D1652" i="2"/>
  <c r="H1651" i="2"/>
  <c r="G1651" i="2"/>
  <c r="F1651" i="2"/>
  <c r="E1651" i="2"/>
  <c r="D1651" i="2"/>
  <c r="H1650" i="2"/>
  <c r="G1650" i="2"/>
  <c r="F1650" i="2"/>
  <c r="E1650" i="2"/>
  <c r="D1650" i="2"/>
  <c r="H1649" i="2"/>
  <c r="G1649" i="2"/>
  <c r="F1649" i="2"/>
  <c r="E1649" i="2"/>
  <c r="D1649" i="2"/>
  <c r="H1648" i="2"/>
  <c r="G1648" i="2"/>
  <c r="F1648" i="2"/>
  <c r="E1648" i="2"/>
  <c r="D1648" i="2"/>
  <c r="H1647" i="2"/>
  <c r="G1647" i="2"/>
  <c r="F1647" i="2"/>
  <c r="E1647" i="2"/>
  <c r="D1647" i="2"/>
  <c r="H1646" i="2"/>
  <c r="G1646" i="2"/>
  <c r="F1646" i="2"/>
  <c r="E1646" i="2"/>
  <c r="D1646" i="2"/>
  <c r="H1645" i="2"/>
  <c r="G1645" i="2"/>
  <c r="F1645" i="2"/>
  <c r="E1645" i="2"/>
  <c r="D1645" i="2"/>
  <c r="H1644" i="2"/>
  <c r="G1644" i="2"/>
  <c r="F1644" i="2"/>
  <c r="E1644" i="2"/>
  <c r="D1644" i="2"/>
  <c r="H1643" i="2"/>
  <c r="G1643" i="2"/>
  <c r="F1643" i="2"/>
  <c r="E1643" i="2"/>
  <c r="D1643" i="2"/>
  <c r="H1642" i="2"/>
  <c r="G1642" i="2"/>
  <c r="F1642" i="2"/>
  <c r="E1642" i="2"/>
  <c r="D1642" i="2"/>
  <c r="H1713" i="2" l="1"/>
  <c r="G1713" i="2"/>
  <c r="F1713" i="2"/>
  <c r="E1713" i="2"/>
  <c r="D1713" i="2"/>
  <c r="H1712" i="2"/>
  <c r="G1712" i="2"/>
  <c r="F1712" i="2"/>
  <c r="E1712" i="2"/>
  <c r="D1712" i="2"/>
  <c r="H1711" i="2"/>
  <c r="G1711" i="2"/>
  <c r="F1711" i="2"/>
  <c r="E1711" i="2"/>
  <c r="D1711" i="2"/>
  <c r="H1710" i="2"/>
  <c r="G1710" i="2"/>
  <c r="F1710" i="2"/>
  <c r="E1710" i="2"/>
  <c r="D1710" i="2"/>
  <c r="H1709" i="2"/>
  <c r="G1709" i="2"/>
  <c r="F1709" i="2"/>
  <c r="E1709" i="2"/>
  <c r="D1709" i="2"/>
  <c r="H1708" i="2"/>
  <c r="G1708" i="2"/>
  <c r="F1708" i="2"/>
  <c r="E1708" i="2"/>
  <c r="D1708" i="2"/>
  <c r="H1707" i="2"/>
  <c r="G1707" i="2"/>
  <c r="F1707" i="2"/>
  <c r="E1707" i="2"/>
  <c r="D1707" i="2"/>
  <c r="H1706" i="2"/>
  <c r="G1706" i="2"/>
  <c r="F1706" i="2"/>
  <c r="E1706" i="2"/>
  <c r="D1706" i="2"/>
  <c r="H1705" i="2"/>
  <c r="G1705" i="2"/>
  <c r="F1705" i="2"/>
  <c r="E1705" i="2"/>
  <c r="D1705" i="2"/>
  <c r="H1704" i="2"/>
  <c r="G1704" i="2"/>
  <c r="F1704" i="2"/>
  <c r="E1704" i="2"/>
  <c r="D1704" i="2"/>
  <c r="H1703" i="2"/>
  <c r="G1703" i="2"/>
  <c r="F1703" i="2"/>
  <c r="E1703" i="2"/>
  <c r="D1703" i="2"/>
  <c r="H1702" i="2"/>
  <c r="G1702" i="2"/>
  <c r="F1702" i="2"/>
  <c r="E1702" i="2"/>
  <c r="D1702" i="2"/>
  <c r="H1701" i="2"/>
  <c r="G1701" i="2"/>
  <c r="F1701" i="2"/>
  <c r="E1701" i="2"/>
  <c r="D1701" i="2"/>
  <c r="H1700" i="2"/>
  <c r="G1700" i="2"/>
  <c r="F1700" i="2"/>
  <c r="E1700" i="2"/>
  <c r="D1700" i="2"/>
  <c r="H1699" i="2"/>
  <c r="G1699" i="2"/>
  <c r="F1699" i="2"/>
  <c r="E1699" i="2"/>
  <c r="D1699" i="2"/>
  <c r="H1698" i="2"/>
  <c r="G1698" i="2"/>
  <c r="F1698" i="2"/>
  <c r="E1698" i="2"/>
  <c r="D1698" i="2"/>
  <c r="H1697" i="2"/>
  <c r="G1697" i="2"/>
  <c r="F1697" i="2"/>
  <c r="E1697" i="2"/>
  <c r="D1697" i="2"/>
  <c r="H1696" i="2"/>
  <c r="G1696" i="2"/>
  <c r="F1696" i="2"/>
  <c r="E1696" i="2"/>
  <c r="D1696" i="2"/>
  <c r="H1695" i="2"/>
  <c r="G1695" i="2"/>
  <c r="F1695" i="2"/>
  <c r="E1695" i="2"/>
  <c r="D1695" i="2"/>
  <c r="H1694" i="2"/>
  <c r="G1694" i="2"/>
  <c r="F1694" i="2"/>
  <c r="E1694" i="2"/>
  <c r="D1694" i="2"/>
  <c r="H1693" i="2"/>
  <c r="G1693" i="2"/>
  <c r="F1693" i="2"/>
  <c r="E1693" i="2"/>
  <c r="D1693" i="2"/>
  <c r="H1692" i="2"/>
  <c r="G1692" i="2"/>
  <c r="F1692" i="2"/>
  <c r="E1692" i="2"/>
  <c r="D1692" i="2"/>
  <c r="H1691" i="2"/>
  <c r="G1691" i="2"/>
  <c r="F1691" i="2"/>
  <c r="E1691" i="2"/>
  <c r="D1691" i="2"/>
  <c r="H1690" i="2"/>
  <c r="G1690" i="2"/>
  <c r="F1690" i="2"/>
  <c r="E1690" i="2"/>
  <c r="D1690" i="2"/>
  <c r="H1689" i="2"/>
  <c r="G1689" i="2"/>
  <c r="F1689" i="2"/>
  <c r="E1689" i="2"/>
  <c r="D1689" i="2"/>
  <c r="H1688" i="2"/>
  <c r="G1688" i="2"/>
  <c r="F1688" i="2"/>
  <c r="E1688" i="2"/>
  <c r="D1688" i="2"/>
  <c r="H1687" i="2"/>
  <c r="G1687" i="2"/>
  <c r="F1687" i="2"/>
  <c r="E1687" i="2"/>
  <c r="D1687" i="2"/>
  <c r="H1686" i="2"/>
  <c r="G1686" i="2"/>
  <c r="F1686" i="2"/>
  <c r="E1686" i="2"/>
  <c r="D1686" i="2"/>
  <c r="H1685" i="2"/>
  <c r="G1685" i="2"/>
  <c r="F1685" i="2"/>
  <c r="E1685" i="2"/>
  <c r="D1685" i="2"/>
  <c r="H1756" i="2" l="1"/>
  <c r="G1756" i="2"/>
  <c r="F1756" i="2"/>
  <c r="E1756" i="2"/>
  <c r="D1756" i="2"/>
  <c r="H1755" i="2"/>
  <c r="G1755" i="2"/>
  <c r="F1755" i="2"/>
  <c r="E1755" i="2"/>
  <c r="D1755" i="2"/>
  <c r="H1754" i="2"/>
  <c r="G1754" i="2"/>
  <c r="F1754" i="2"/>
  <c r="E1754" i="2"/>
  <c r="D1754" i="2"/>
  <c r="H1753" i="2"/>
  <c r="G1753" i="2"/>
  <c r="F1753" i="2"/>
  <c r="E1753" i="2"/>
  <c r="D1753" i="2"/>
  <c r="H1752" i="2"/>
  <c r="G1752" i="2"/>
  <c r="F1752" i="2"/>
  <c r="E1752" i="2"/>
  <c r="D1752" i="2"/>
  <c r="H1751" i="2"/>
  <c r="G1751" i="2"/>
  <c r="F1751" i="2"/>
  <c r="E1751" i="2"/>
  <c r="D1751" i="2"/>
  <c r="H1750" i="2"/>
  <c r="G1750" i="2"/>
  <c r="F1750" i="2"/>
  <c r="E1750" i="2"/>
  <c r="D1750" i="2"/>
  <c r="H1749" i="2"/>
  <c r="G1749" i="2"/>
  <c r="F1749" i="2"/>
  <c r="E1749" i="2"/>
  <c r="D1749" i="2"/>
  <c r="H1748" i="2"/>
  <c r="G1748" i="2"/>
  <c r="F1748" i="2"/>
  <c r="E1748" i="2"/>
  <c r="D1748" i="2"/>
  <c r="H1747" i="2"/>
  <c r="G1747" i="2"/>
  <c r="F1747" i="2"/>
  <c r="E1747" i="2"/>
  <c r="D1747" i="2"/>
  <c r="H1746" i="2"/>
  <c r="G1746" i="2"/>
  <c r="F1746" i="2"/>
  <c r="E1746" i="2"/>
  <c r="D1746" i="2"/>
  <c r="H1745" i="2"/>
  <c r="G1745" i="2"/>
  <c r="F1745" i="2"/>
  <c r="E1745" i="2"/>
  <c r="D1745" i="2"/>
  <c r="H1744" i="2"/>
  <c r="G1744" i="2"/>
  <c r="F1744" i="2"/>
  <c r="E1744" i="2"/>
  <c r="D1744" i="2"/>
  <c r="H1743" i="2"/>
  <c r="G1743" i="2"/>
  <c r="F1743" i="2"/>
  <c r="E1743" i="2"/>
  <c r="D1743" i="2"/>
  <c r="H1742" i="2"/>
  <c r="G1742" i="2"/>
  <c r="F1742" i="2"/>
  <c r="E1742" i="2"/>
  <c r="D1742" i="2"/>
  <c r="H1741" i="2"/>
  <c r="G1741" i="2"/>
  <c r="F1741" i="2"/>
  <c r="E1741" i="2"/>
  <c r="D1741" i="2"/>
  <c r="H1740" i="2"/>
  <c r="G1740" i="2"/>
  <c r="F1740" i="2"/>
  <c r="E1740" i="2"/>
  <c r="D1740" i="2"/>
  <c r="H1739" i="2"/>
  <c r="G1739" i="2"/>
  <c r="F1739" i="2"/>
  <c r="E1739" i="2"/>
  <c r="D1739" i="2"/>
  <c r="H1738" i="2"/>
  <c r="G1738" i="2"/>
  <c r="F1738" i="2"/>
  <c r="E1738" i="2"/>
  <c r="D1738" i="2"/>
  <c r="H1737" i="2"/>
  <c r="G1737" i="2"/>
  <c r="F1737" i="2"/>
  <c r="E1737" i="2"/>
  <c r="D1737" i="2"/>
  <c r="H1736" i="2"/>
  <c r="G1736" i="2"/>
  <c r="F1736" i="2"/>
  <c r="E1736" i="2"/>
  <c r="D1736" i="2"/>
  <c r="H1735" i="2"/>
  <c r="G1735" i="2"/>
  <c r="F1735" i="2"/>
  <c r="E1735" i="2"/>
  <c r="D1735" i="2"/>
  <c r="H1734" i="2"/>
  <c r="G1734" i="2"/>
  <c r="F1734" i="2"/>
  <c r="E1734" i="2"/>
  <c r="D1734" i="2"/>
  <c r="H1733" i="2"/>
  <c r="G1733" i="2"/>
  <c r="F1733" i="2"/>
  <c r="E1733" i="2"/>
  <c r="D1733" i="2"/>
  <c r="H1732" i="2"/>
  <c r="G1732" i="2"/>
  <c r="F1732" i="2"/>
  <c r="E1732" i="2"/>
  <c r="D1732" i="2"/>
  <c r="H1731" i="2"/>
  <c r="G1731" i="2"/>
  <c r="F1731" i="2"/>
  <c r="E1731" i="2"/>
  <c r="D1731" i="2"/>
  <c r="H1730" i="2"/>
  <c r="G1730" i="2"/>
  <c r="F1730" i="2"/>
  <c r="E1730" i="2"/>
  <c r="D1730" i="2"/>
  <c r="H1729" i="2"/>
  <c r="G1729" i="2"/>
  <c r="F1729" i="2"/>
  <c r="E1729" i="2"/>
  <c r="D1729" i="2"/>
  <c r="H1728" i="2"/>
  <c r="G1728" i="2"/>
  <c r="F1728" i="2"/>
  <c r="E1728" i="2"/>
  <c r="D1728" i="2"/>
  <c r="H1800" i="2"/>
  <c r="G1800" i="2"/>
  <c r="F1800" i="2"/>
  <c r="E1800" i="2"/>
  <c r="D1800" i="2"/>
  <c r="H1799" i="2"/>
  <c r="G1799" i="2"/>
  <c r="F1799" i="2"/>
  <c r="E1799" i="2"/>
  <c r="D1799" i="2"/>
  <c r="H1798" i="2"/>
  <c r="G1798" i="2"/>
  <c r="F1798" i="2"/>
  <c r="E1798" i="2"/>
  <c r="D1798" i="2"/>
  <c r="H1797" i="2"/>
  <c r="G1797" i="2"/>
  <c r="F1797" i="2"/>
  <c r="E1797" i="2"/>
  <c r="D1797" i="2"/>
  <c r="H1796" i="2"/>
  <c r="G1796" i="2"/>
  <c r="F1796" i="2"/>
  <c r="E1796" i="2"/>
  <c r="D1796" i="2"/>
  <c r="H1795" i="2"/>
  <c r="G1795" i="2"/>
  <c r="F1795" i="2"/>
  <c r="E1795" i="2"/>
  <c r="D1795" i="2"/>
  <c r="H1794" i="2"/>
  <c r="G1794" i="2"/>
  <c r="F1794" i="2"/>
  <c r="E1794" i="2"/>
  <c r="D1794" i="2"/>
  <c r="H1793" i="2"/>
  <c r="G1793" i="2"/>
  <c r="F1793" i="2"/>
  <c r="E1793" i="2"/>
  <c r="D1793" i="2"/>
  <c r="H1792" i="2"/>
  <c r="G1792" i="2"/>
  <c r="F1792" i="2"/>
  <c r="E1792" i="2"/>
  <c r="D1792" i="2"/>
  <c r="H1791" i="2"/>
  <c r="G1791" i="2"/>
  <c r="F1791" i="2"/>
  <c r="E1791" i="2"/>
  <c r="D1791" i="2"/>
  <c r="H1790" i="2"/>
  <c r="G1790" i="2"/>
  <c r="F1790" i="2"/>
  <c r="E1790" i="2"/>
  <c r="D1790" i="2"/>
  <c r="H1789" i="2"/>
  <c r="G1789" i="2"/>
  <c r="F1789" i="2"/>
  <c r="E1789" i="2"/>
  <c r="D1789" i="2"/>
  <c r="H1788" i="2"/>
  <c r="G1788" i="2"/>
  <c r="F1788" i="2"/>
  <c r="E1788" i="2"/>
  <c r="D1788" i="2"/>
  <c r="H1787" i="2"/>
  <c r="G1787" i="2"/>
  <c r="F1787" i="2"/>
  <c r="E1787" i="2"/>
  <c r="D1787" i="2"/>
  <c r="H1786" i="2"/>
  <c r="G1786" i="2"/>
  <c r="F1786" i="2"/>
  <c r="E1786" i="2"/>
  <c r="D1786" i="2"/>
  <c r="H1785" i="2"/>
  <c r="G1785" i="2"/>
  <c r="F1785" i="2"/>
  <c r="E1785" i="2"/>
  <c r="D1785" i="2"/>
  <c r="H1784" i="2"/>
  <c r="G1784" i="2"/>
  <c r="F1784" i="2"/>
  <c r="E1784" i="2"/>
  <c r="D1784" i="2"/>
  <c r="H1783" i="2"/>
  <c r="G1783" i="2"/>
  <c r="F1783" i="2"/>
  <c r="E1783" i="2"/>
  <c r="D1783" i="2"/>
  <c r="H1782" i="2"/>
  <c r="G1782" i="2"/>
  <c r="F1782" i="2"/>
  <c r="E1782" i="2"/>
  <c r="D1782" i="2"/>
  <c r="H1781" i="2"/>
  <c r="G1781" i="2"/>
  <c r="F1781" i="2"/>
  <c r="E1781" i="2"/>
  <c r="D1781" i="2"/>
  <c r="H1780" i="2"/>
  <c r="G1780" i="2"/>
  <c r="F1780" i="2"/>
  <c r="E1780" i="2"/>
  <c r="D1780" i="2"/>
  <c r="H1779" i="2"/>
  <c r="G1779" i="2"/>
  <c r="F1779" i="2"/>
  <c r="E1779" i="2"/>
  <c r="D1779" i="2"/>
  <c r="H1778" i="2"/>
  <c r="G1778" i="2"/>
  <c r="F1778" i="2"/>
  <c r="E1778" i="2"/>
  <c r="D1778" i="2"/>
  <c r="H1777" i="2"/>
  <c r="G1777" i="2"/>
  <c r="F1777" i="2"/>
  <c r="E1777" i="2"/>
  <c r="D1777" i="2"/>
  <c r="H1776" i="2"/>
  <c r="G1776" i="2"/>
  <c r="F1776" i="2"/>
  <c r="E1776" i="2"/>
  <c r="D1776" i="2"/>
  <c r="H1775" i="2"/>
  <c r="G1775" i="2"/>
  <c r="F1775" i="2"/>
  <c r="E1775" i="2"/>
  <c r="D1775" i="2"/>
  <c r="H1774" i="2"/>
  <c r="G1774" i="2"/>
  <c r="F1774" i="2"/>
  <c r="E1774" i="2"/>
  <c r="D1774" i="2"/>
  <c r="H1773" i="2"/>
  <c r="G1773" i="2"/>
  <c r="F1773" i="2"/>
  <c r="E1773" i="2"/>
  <c r="D1773" i="2"/>
  <c r="H1772" i="2"/>
  <c r="G1772" i="2"/>
  <c r="F1772" i="2"/>
  <c r="E1772" i="2"/>
  <c r="D1772" i="2"/>
  <c r="H1843" i="2"/>
  <c r="G1843" i="2"/>
  <c r="F1843" i="2"/>
  <c r="E1843" i="2"/>
  <c r="D1843" i="2"/>
  <c r="H1842" i="2"/>
  <c r="G1842" i="2"/>
  <c r="F1842" i="2"/>
  <c r="E1842" i="2"/>
  <c r="D1842" i="2"/>
  <c r="H1841" i="2"/>
  <c r="G1841" i="2"/>
  <c r="F1841" i="2"/>
  <c r="E1841" i="2"/>
  <c r="D1841" i="2"/>
  <c r="H1840" i="2"/>
  <c r="G1840" i="2"/>
  <c r="F1840" i="2"/>
  <c r="E1840" i="2"/>
  <c r="D1840" i="2"/>
  <c r="H1839" i="2"/>
  <c r="G1839" i="2"/>
  <c r="F1839" i="2"/>
  <c r="E1839" i="2"/>
  <c r="D1839" i="2"/>
  <c r="H1838" i="2"/>
  <c r="G1838" i="2"/>
  <c r="F1838" i="2"/>
  <c r="E1838" i="2"/>
  <c r="D1838" i="2"/>
  <c r="H1837" i="2"/>
  <c r="G1837" i="2"/>
  <c r="F1837" i="2"/>
  <c r="E1837" i="2"/>
  <c r="D1837" i="2"/>
  <c r="H1836" i="2"/>
  <c r="G1836" i="2"/>
  <c r="F1836" i="2"/>
  <c r="E1836" i="2"/>
  <c r="D1836" i="2"/>
  <c r="H1835" i="2"/>
  <c r="G1835" i="2"/>
  <c r="F1835" i="2"/>
  <c r="E1835" i="2"/>
  <c r="D1835" i="2"/>
  <c r="H1834" i="2"/>
  <c r="G1834" i="2"/>
  <c r="F1834" i="2"/>
  <c r="E1834" i="2"/>
  <c r="D1834" i="2"/>
  <c r="H1833" i="2"/>
  <c r="G1833" i="2"/>
  <c r="F1833" i="2"/>
  <c r="E1833" i="2"/>
  <c r="D1833" i="2"/>
  <c r="H1832" i="2"/>
  <c r="G1832" i="2"/>
  <c r="F1832" i="2"/>
  <c r="E1832" i="2"/>
  <c r="D1832" i="2"/>
  <c r="H1831" i="2"/>
  <c r="G1831" i="2"/>
  <c r="F1831" i="2"/>
  <c r="E1831" i="2"/>
  <c r="D1831" i="2"/>
  <c r="H1830" i="2"/>
  <c r="G1830" i="2"/>
  <c r="F1830" i="2"/>
  <c r="E1830" i="2"/>
  <c r="D1830" i="2"/>
  <c r="H1829" i="2"/>
  <c r="G1829" i="2"/>
  <c r="F1829" i="2"/>
  <c r="E1829" i="2"/>
  <c r="D1829" i="2"/>
  <c r="H1828" i="2"/>
  <c r="G1828" i="2"/>
  <c r="F1828" i="2"/>
  <c r="E1828" i="2"/>
  <c r="D1828" i="2"/>
  <c r="H1827" i="2"/>
  <c r="G1827" i="2"/>
  <c r="F1827" i="2"/>
  <c r="E1827" i="2"/>
  <c r="D1827" i="2"/>
  <c r="H1826" i="2"/>
  <c r="G1826" i="2"/>
  <c r="F1826" i="2"/>
  <c r="E1826" i="2"/>
  <c r="D1826" i="2"/>
  <c r="H1825" i="2"/>
  <c r="G1825" i="2"/>
  <c r="F1825" i="2"/>
  <c r="E1825" i="2"/>
  <c r="D1825" i="2"/>
  <c r="H1824" i="2"/>
  <c r="G1824" i="2"/>
  <c r="F1824" i="2"/>
  <c r="E1824" i="2"/>
  <c r="D1824" i="2"/>
  <c r="H1823" i="2"/>
  <c r="G1823" i="2"/>
  <c r="F1823" i="2"/>
  <c r="E1823" i="2"/>
  <c r="D1823" i="2"/>
  <c r="H1822" i="2"/>
  <c r="G1822" i="2"/>
  <c r="F1822" i="2"/>
  <c r="E1822" i="2"/>
  <c r="D1822" i="2"/>
  <c r="H1821" i="2"/>
  <c r="G1821" i="2"/>
  <c r="F1821" i="2"/>
  <c r="E1821" i="2"/>
  <c r="D1821" i="2"/>
  <c r="H1820" i="2"/>
  <c r="G1820" i="2"/>
  <c r="F1820" i="2"/>
  <c r="E1820" i="2"/>
  <c r="D1820" i="2"/>
  <c r="H1819" i="2"/>
  <c r="G1819" i="2"/>
  <c r="F1819" i="2"/>
  <c r="E1819" i="2"/>
  <c r="D1819" i="2"/>
  <c r="H1818" i="2"/>
  <c r="G1818" i="2"/>
  <c r="F1818" i="2"/>
  <c r="E1818" i="2"/>
  <c r="D1818" i="2"/>
  <c r="H1817" i="2"/>
  <c r="G1817" i="2"/>
  <c r="F1817" i="2"/>
  <c r="E1817" i="2"/>
  <c r="D1817" i="2"/>
  <c r="H1816" i="2"/>
  <c r="G1816" i="2"/>
  <c r="F1816" i="2"/>
  <c r="E1816" i="2"/>
  <c r="D1816" i="2"/>
  <c r="H1815" i="2"/>
  <c r="G1815" i="2"/>
  <c r="F1815" i="2"/>
  <c r="E1815" i="2"/>
  <c r="D1815" i="2"/>
  <c r="H1886" i="2"/>
  <c r="G1886" i="2"/>
  <c r="F1886" i="2"/>
  <c r="E1886" i="2"/>
  <c r="D1886" i="2"/>
  <c r="H1885" i="2"/>
  <c r="G1885" i="2"/>
  <c r="F1885" i="2"/>
  <c r="E1885" i="2"/>
  <c r="D1885" i="2"/>
  <c r="H1884" i="2"/>
  <c r="G1884" i="2"/>
  <c r="F1884" i="2"/>
  <c r="E1884" i="2"/>
  <c r="D1884" i="2"/>
  <c r="H1883" i="2"/>
  <c r="G1883" i="2"/>
  <c r="F1883" i="2"/>
  <c r="E1883" i="2"/>
  <c r="D1883" i="2"/>
  <c r="H1882" i="2"/>
  <c r="G1882" i="2"/>
  <c r="F1882" i="2"/>
  <c r="E1882" i="2"/>
  <c r="D1882" i="2"/>
  <c r="H1881" i="2"/>
  <c r="G1881" i="2"/>
  <c r="F1881" i="2"/>
  <c r="E1881" i="2"/>
  <c r="D1881" i="2"/>
  <c r="H1880" i="2"/>
  <c r="G1880" i="2"/>
  <c r="F1880" i="2"/>
  <c r="E1880" i="2"/>
  <c r="D1880" i="2"/>
  <c r="H1879" i="2"/>
  <c r="G1879" i="2"/>
  <c r="F1879" i="2"/>
  <c r="E1879" i="2"/>
  <c r="D1879" i="2"/>
  <c r="H1878" i="2"/>
  <c r="G1878" i="2"/>
  <c r="F1878" i="2"/>
  <c r="E1878" i="2"/>
  <c r="D1878" i="2"/>
  <c r="H1877" i="2"/>
  <c r="G1877" i="2"/>
  <c r="F1877" i="2"/>
  <c r="E1877" i="2"/>
  <c r="D1877" i="2"/>
  <c r="H1876" i="2"/>
  <c r="G1876" i="2"/>
  <c r="F1876" i="2"/>
  <c r="E1876" i="2"/>
  <c r="D1876" i="2"/>
  <c r="H1875" i="2"/>
  <c r="G1875" i="2"/>
  <c r="F1875" i="2"/>
  <c r="E1875" i="2"/>
  <c r="D1875" i="2"/>
  <c r="H1874" i="2"/>
  <c r="G1874" i="2"/>
  <c r="F1874" i="2"/>
  <c r="E1874" i="2"/>
  <c r="D1874" i="2"/>
  <c r="H1873" i="2"/>
  <c r="G1873" i="2"/>
  <c r="F1873" i="2"/>
  <c r="E1873" i="2"/>
  <c r="D1873" i="2"/>
  <c r="H1872" i="2"/>
  <c r="G1872" i="2"/>
  <c r="F1872" i="2"/>
  <c r="E1872" i="2"/>
  <c r="D1872" i="2"/>
  <c r="H1871" i="2"/>
  <c r="G1871" i="2"/>
  <c r="F1871" i="2"/>
  <c r="E1871" i="2"/>
  <c r="D1871" i="2"/>
  <c r="H1870" i="2"/>
  <c r="G1870" i="2"/>
  <c r="F1870" i="2"/>
  <c r="E1870" i="2"/>
  <c r="D1870" i="2"/>
  <c r="H1869" i="2"/>
  <c r="G1869" i="2"/>
  <c r="F1869" i="2"/>
  <c r="E1869" i="2"/>
  <c r="D1869" i="2"/>
  <c r="H1868" i="2"/>
  <c r="G1868" i="2"/>
  <c r="F1868" i="2"/>
  <c r="E1868" i="2"/>
  <c r="D1868" i="2"/>
  <c r="H1867" i="2"/>
  <c r="G1867" i="2"/>
  <c r="F1867" i="2"/>
  <c r="E1867" i="2"/>
  <c r="D1867" i="2"/>
  <c r="H1866" i="2"/>
  <c r="G1866" i="2"/>
  <c r="F1866" i="2"/>
  <c r="E1866" i="2"/>
  <c r="D1866" i="2"/>
  <c r="H1865" i="2"/>
  <c r="G1865" i="2"/>
  <c r="F1865" i="2"/>
  <c r="E1865" i="2"/>
  <c r="D1865" i="2"/>
  <c r="H1864" i="2"/>
  <c r="G1864" i="2"/>
  <c r="F1864" i="2"/>
  <c r="E1864" i="2"/>
  <c r="D1864" i="2"/>
  <c r="H1863" i="2"/>
  <c r="G1863" i="2"/>
  <c r="F1863" i="2"/>
  <c r="E1863" i="2"/>
  <c r="D1863" i="2"/>
  <c r="H1862" i="2"/>
  <c r="G1862" i="2"/>
  <c r="F1862" i="2"/>
  <c r="E1862" i="2"/>
  <c r="D1862" i="2"/>
  <c r="H1861" i="2"/>
  <c r="G1861" i="2"/>
  <c r="F1861" i="2"/>
  <c r="E1861" i="2"/>
  <c r="D1861" i="2"/>
  <c r="H1860" i="2"/>
  <c r="G1860" i="2"/>
  <c r="F1860" i="2"/>
  <c r="E1860" i="2"/>
  <c r="D1860" i="2"/>
  <c r="H1859" i="2"/>
  <c r="G1859" i="2"/>
  <c r="F1859" i="2"/>
  <c r="E1859" i="2"/>
  <c r="D1859" i="2"/>
  <c r="H1858" i="2"/>
  <c r="G1858" i="2"/>
  <c r="F1858" i="2"/>
  <c r="E1858" i="2"/>
  <c r="D1858" i="2"/>
  <c r="H1929" i="2"/>
  <c r="G1929" i="2"/>
  <c r="F1929" i="2"/>
  <c r="E1929" i="2"/>
  <c r="D1929" i="2"/>
  <c r="H1928" i="2"/>
  <c r="G1928" i="2"/>
  <c r="F1928" i="2"/>
  <c r="E1928" i="2"/>
  <c r="D1928" i="2"/>
  <c r="H1927" i="2"/>
  <c r="G1927" i="2"/>
  <c r="F1927" i="2"/>
  <c r="E1927" i="2"/>
  <c r="D1927" i="2"/>
  <c r="H1926" i="2"/>
  <c r="G1926" i="2"/>
  <c r="F1926" i="2"/>
  <c r="E1926" i="2"/>
  <c r="D1926" i="2"/>
  <c r="H1925" i="2"/>
  <c r="G1925" i="2"/>
  <c r="F1925" i="2"/>
  <c r="E1925" i="2"/>
  <c r="D1925" i="2"/>
  <c r="H1924" i="2"/>
  <c r="G1924" i="2"/>
  <c r="F1924" i="2"/>
  <c r="E1924" i="2"/>
  <c r="D1924" i="2"/>
  <c r="H1923" i="2"/>
  <c r="G1923" i="2"/>
  <c r="F1923" i="2"/>
  <c r="E1923" i="2"/>
  <c r="D1923" i="2"/>
  <c r="H1922" i="2"/>
  <c r="G1922" i="2"/>
  <c r="F1922" i="2"/>
  <c r="E1922" i="2"/>
  <c r="D1922" i="2"/>
  <c r="H1921" i="2"/>
  <c r="G1921" i="2"/>
  <c r="F1921" i="2"/>
  <c r="E1921" i="2"/>
  <c r="D1921" i="2"/>
  <c r="H1920" i="2"/>
  <c r="G1920" i="2"/>
  <c r="F1920" i="2"/>
  <c r="E1920" i="2"/>
  <c r="D1920" i="2"/>
  <c r="H1919" i="2"/>
  <c r="G1919" i="2"/>
  <c r="F1919" i="2"/>
  <c r="E1919" i="2"/>
  <c r="D1919" i="2"/>
  <c r="H1918" i="2"/>
  <c r="G1918" i="2"/>
  <c r="F1918" i="2"/>
  <c r="E1918" i="2"/>
  <c r="D1918" i="2"/>
  <c r="H1917" i="2"/>
  <c r="G1917" i="2"/>
  <c r="F1917" i="2"/>
  <c r="E1917" i="2"/>
  <c r="D1917" i="2"/>
  <c r="H1916" i="2"/>
  <c r="G1916" i="2"/>
  <c r="F1916" i="2"/>
  <c r="E1916" i="2"/>
  <c r="D1916" i="2"/>
  <c r="H1915" i="2"/>
  <c r="G1915" i="2"/>
  <c r="F1915" i="2"/>
  <c r="E1915" i="2"/>
  <c r="D1915" i="2"/>
  <c r="H1914" i="2"/>
  <c r="G1914" i="2"/>
  <c r="F1914" i="2"/>
  <c r="E1914" i="2"/>
  <c r="D1914" i="2"/>
  <c r="H1913" i="2"/>
  <c r="G1913" i="2"/>
  <c r="F1913" i="2"/>
  <c r="E1913" i="2"/>
  <c r="D1913" i="2"/>
  <c r="H1912" i="2"/>
  <c r="G1912" i="2"/>
  <c r="F1912" i="2"/>
  <c r="E1912" i="2"/>
  <c r="D1912" i="2"/>
  <c r="H1911" i="2"/>
  <c r="G1911" i="2"/>
  <c r="F1911" i="2"/>
  <c r="E1911" i="2"/>
  <c r="D1911" i="2"/>
  <c r="H1910" i="2"/>
  <c r="G1910" i="2"/>
  <c r="F1910" i="2"/>
  <c r="E1910" i="2"/>
  <c r="D1910" i="2"/>
  <c r="H1909" i="2"/>
  <c r="G1909" i="2"/>
  <c r="F1909" i="2"/>
  <c r="E1909" i="2"/>
  <c r="D1909" i="2"/>
  <c r="H1908" i="2"/>
  <c r="G1908" i="2"/>
  <c r="F1908" i="2"/>
  <c r="E1908" i="2"/>
  <c r="D1908" i="2"/>
  <c r="H1907" i="2"/>
  <c r="G1907" i="2"/>
  <c r="F1907" i="2"/>
  <c r="E1907" i="2"/>
  <c r="D1907" i="2"/>
  <c r="H1906" i="2"/>
  <c r="G1906" i="2"/>
  <c r="F1906" i="2"/>
  <c r="E1906" i="2"/>
  <c r="D1906" i="2"/>
  <c r="H1905" i="2"/>
  <c r="G1905" i="2"/>
  <c r="F1905" i="2"/>
  <c r="E1905" i="2"/>
  <c r="D1905" i="2"/>
  <c r="H1904" i="2"/>
  <c r="G1904" i="2"/>
  <c r="F1904" i="2"/>
  <c r="E1904" i="2"/>
  <c r="D1904" i="2"/>
  <c r="H1903" i="2"/>
  <c r="G1903" i="2"/>
  <c r="F1903" i="2"/>
  <c r="E1903" i="2"/>
  <c r="D1903" i="2"/>
  <c r="H1902" i="2"/>
  <c r="G1902" i="2"/>
  <c r="F1902" i="2"/>
  <c r="E1902" i="2"/>
  <c r="D1902" i="2"/>
  <c r="H1901" i="2"/>
  <c r="G1901" i="2"/>
  <c r="F1901" i="2"/>
  <c r="E1901" i="2"/>
  <c r="D1901" i="2"/>
  <c r="H1972" i="2"/>
  <c r="G1972" i="2"/>
  <c r="F1972" i="2"/>
  <c r="E1972" i="2"/>
  <c r="D1972" i="2"/>
  <c r="H1971" i="2"/>
  <c r="G1971" i="2"/>
  <c r="F1971" i="2"/>
  <c r="E1971" i="2"/>
  <c r="D1971" i="2"/>
  <c r="H1970" i="2"/>
  <c r="G1970" i="2"/>
  <c r="F1970" i="2"/>
  <c r="E1970" i="2"/>
  <c r="D1970" i="2"/>
  <c r="H1969" i="2"/>
  <c r="G1969" i="2"/>
  <c r="F1969" i="2"/>
  <c r="E1969" i="2"/>
  <c r="D1969" i="2"/>
  <c r="H1968" i="2"/>
  <c r="G1968" i="2"/>
  <c r="F1968" i="2"/>
  <c r="E1968" i="2"/>
  <c r="D1968" i="2"/>
  <c r="H1967" i="2"/>
  <c r="G1967" i="2"/>
  <c r="F1967" i="2"/>
  <c r="E1967" i="2"/>
  <c r="D1967" i="2"/>
  <c r="H1966" i="2"/>
  <c r="G1966" i="2"/>
  <c r="F1966" i="2"/>
  <c r="E1966" i="2"/>
  <c r="D1966" i="2"/>
  <c r="H1965" i="2"/>
  <c r="G1965" i="2"/>
  <c r="F1965" i="2"/>
  <c r="E1965" i="2"/>
  <c r="D1965" i="2"/>
  <c r="H1964" i="2"/>
  <c r="G1964" i="2"/>
  <c r="F1964" i="2"/>
  <c r="E1964" i="2"/>
  <c r="D1964" i="2"/>
  <c r="H1963" i="2"/>
  <c r="G1963" i="2"/>
  <c r="F1963" i="2"/>
  <c r="E1963" i="2"/>
  <c r="D1963" i="2"/>
  <c r="H1962" i="2"/>
  <c r="G1962" i="2"/>
  <c r="F1962" i="2"/>
  <c r="E1962" i="2"/>
  <c r="D1962" i="2"/>
  <c r="H1961" i="2"/>
  <c r="G1961" i="2"/>
  <c r="F1961" i="2"/>
  <c r="E1961" i="2"/>
  <c r="D1961" i="2"/>
  <c r="H1960" i="2"/>
  <c r="G1960" i="2"/>
  <c r="F1960" i="2"/>
  <c r="E1960" i="2"/>
  <c r="D1960" i="2"/>
  <c r="H1959" i="2"/>
  <c r="G1959" i="2"/>
  <c r="F1959" i="2"/>
  <c r="E1959" i="2"/>
  <c r="D1959" i="2"/>
  <c r="H1958" i="2"/>
  <c r="G1958" i="2"/>
  <c r="F1958" i="2"/>
  <c r="E1958" i="2"/>
  <c r="D1958" i="2"/>
  <c r="H1957" i="2"/>
  <c r="G1957" i="2"/>
  <c r="F1957" i="2"/>
  <c r="E1957" i="2"/>
  <c r="D1957" i="2"/>
  <c r="H1956" i="2"/>
  <c r="G1956" i="2"/>
  <c r="F1956" i="2"/>
  <c r="E1956" i="2"/>
  <c r="D1956" i="2"/>
  <c r="H1955" i="2"/>
  <c r="G1955" i="2"/>
  <c r="F1955" i="2"/>
  <c r="E1955" i="2"/>
  <c r="D1955" i="2"/>
  <c r="H1954" i="2"/>
  <c r="G1954" i="2"/>
  <c r="F1954" i="2"/>
  <c r="E1954" i="2"/>
  <c r="D1954" i="2"/>
  <c r="H1953" i="2"/>
  <c r="G1953" i="2"/>
  <c r="F1953" i="2"/>
  <c r="E1953" i="2"/>
  <c r="D1953" i="2"/>
  <c r="H1952" i="2"/>
  <c r="G1952" i="2"/>
  <c r="F1952" i="2"/>
  <c r="E1952" i="2"/>
  <c r="D1952" i="2"/>
  <c r="H1951" i="2"/>
  <c r="G1951" i="2"/>
  <c r="F1951" i="2"/>
  <c r="E1951" i="2"/>
  <c r="D1951" i="2"/>
  <c r="H1950" i="2"/>
  <c r="G1950" i="2"/>
  <c r="F1950" i="2"/>
  <c r="E1950" i="2"/>
  <c r="D1950" i="2"/>
  <c r="H1949" i="2"/>
  <c r="G1949" i="2"/>
  <c r="F1949" i="2"/>
  <c r="E1949" i="2"/>
  <c r="D1949" i="2"/>
  <c r="H1948" i="2"/>
  <c r="G1948" i="2"/>
  <c r="F1948" i="2"/>
  <c r="E1948" i="2"/>
  <c r="D1948" i="2"/>
  <c r="H1947" i="2"/>
  <c r="G1947" i="2"/>
  <c r="F1947" i="2"/>
  <c r="E1947" i="2"/>
  <c r="D1947" i="2"/>
  <c r="H1946" i="2"/>
  <c r="G1946" i="2"/>
  <c r="F1946" i="2"/>
  <c r="E1946" i="2"/>
  <c r="D1946" i="2"/>
  <c r="H1945" i="2"/>
  <c r="G1945" i="2"/>
  <c r="F1945" i="2"/>
  <c r="E1945" i="2"/>
  <c r="D1945" i="2"/>
  <c r="H1944" i="2"/>
  <c r="G1944" i="2"/>
  <c r="F1944" i="2"/>
  <c r="E1944" i="2"/>
  <c r="D1944" i="2"/>
  <c r="H2015" i="2"/>
  <c r="G2015" i="2"/>
  <c r="F2015" i="2"/>
  <c r="E2015" i="2"/>
  <c r="D2015" i="2"/>
  <c r="H2014" i="2"/>
  <c r="G2014" i="2"/>
  <c r="F2014" i="2"/>
  <c r="E2014" i="2"/>
  <c r="D2014" i="2"/>
  <c r="H2013" i="2"/>
  <c r="G2013" i="2"/>
  <c r="F2013" i="2"/>
  <c r="E2013" i="2"/>
  <c r="D2013" i="2"/>
  <c r="H2012" i="2"/>
  <c r="G2012" i="2"/>
  <c r="F2012" i="2"/>
  <c r="E2012" i="2"/>
  <c r="D2012" i="2"/>
  <c r="H2011" i="2"/>
  <c r="G2011" i="2"/>
  <c r="F2011" i="2"/>
  <c r="E2011" i="2"/>
  <c r="D2011" i="2"/>
  <c r="H2010" i="2"/>
  <c r="G2010" i="2"/>
  <c r="F2010" i="2"/>
  <c r="E2010" i="2"/>
  <c r="D2010" i="2"/>
  <c r="H2009" i="2"/>
  <c r="G2009" i="2"/>
  <c r="F2009" i="2"/>
  <c r="E2009" i="2"/>
  <c r="D2009" i="2"/>
  <c r="H2008" i="2"/>
  <c r="G2008" i="2"/>
  <c r="F2008" i="2"/>
  <c r="E2008" i="2"/>
  <c r="D2008" i="2"/>
  <c r="H2007" i="2"/>
  <c r="G2007" i="2"/>
  <c r="F2007" i="2"/>
  <c r="E2007" i="2"/>
  <c r="D2007" i="2"/>
  <c r="H2006" i="2"/>
  <c r="G2006" i="2"/>
  <c r="F2006" i="2"/>
  <c r="E2006" i="2"/>
  <c r="D2006" i="2"/>
  <c r="H2005" i="2"/>
  <c r="G2005" i="2"/>
  <c r="F2005" i="2"/>
  <c r="E2005" i="2"/>
  <c r="D2005" i="2"/>
  <c r="H2004" i="2"/>
  <c r="G2004" i="2"/>
  <c r="F2004" i="2"/>
  <c r="E2004" i="2"/>
  <c r="D2004" i="2"/>
  <c r="H2003" i="2"/>
  <c r="G2003" i="2"/>
  <c r="F2003" i="2"/>
  <c r="E2003" i="2"/>
  <c r="D2003" i="2"/>
  <c r="H2002" i="2"/>
  <c r="G2002" i="2"/>
  <c r="F2002" i="2"/>
  <c r="E2002" i="2"/>
  <c r="D2002" i="2"/>
  <c r="H2001" i="2"/>
  <c r="G2001" i="2"/>
  <c r="F2001" i="2"/>
  <c r="E2001" i="2"/>
  <c r="D2001" i="2"/>
  <c r="H2000" i="2"/>
  <c r="G2000" i="2"/>
  <c r="F2000" i="2"/>
  <c r="E2000" i="2"/>
  <c r="D2000" i="2"/>
  <c r="H1999" i="2"/>
  <c r="G1999" i="2"/>
  <c r="F1999" i="2"/>
  <c r="E1999" i="2"/>
  <c r="D1999" i="2"/>
  <c r="H1998" i="2"/>
  <c r="G1998" i="2"/>
  <c r="F1998" i="2"/>
  <c r="E1998" i="2"/>
  <c r="D1998" i="2"/>
  <c r="H1997" i="2"/>
  <c r="G1997" i="2"/>
  <c r="F1997" i="2"/>
  <c r="E1997" i="2"/>
  <c r="D1997" i="2"/>
  <c r="H1996" i="2"/>
  <c r="G1996" i="2"/>
  <c r="F1996" i="2"/>
  <c r="E1996" i="2"/>
  <c r="D1996" i="2"/>
  <c r="H1995" i="2"/>
  <c r="G1995" i="2"/>
  <c r="F1995" i="2"/>
  <c r="E1995" i="2"/>
  <c r="D1995" i="2"/>
  <c r="H1994" i="2"/>
  <c r="G1994" i="2"/>
  <c r="F1994" i="2"/>
  <c r="E1994" i="2"/>
  <c r="D1994" i="2"/>
  <c r="H1993" i="2"/>
  <c r="G1993" i="2"/>
  <c r="F1993" i="2"/>
  <c r="E1993" i="2"/>
  <c r="D1993" i="2"/>
  <c r="H1992" i="2"/>
  <c r="G1992" i="2"/>
  <c r="F1992" i="2"/>
  <c r="E1992" i="2"/>
  <c r="D1992" i="2"/>
  <c r="H1991" i="2"/>
  <c r="G1991" i="2"/>
  <c r="F1991" i="2"/>
  <c r="E1991" i="2"/>
  <c r="D1991" i="2"/>
  <c r="H1990" i="2"/>
  <c r="G1990" i="2"/>
  <c r="F1990" i="2"/>
  <c r="E1990" i="2"/>
  <c r="D1990" i="2"/>
  <c r="H1989" i="2"/>
  <c r="G1989" i="2"/>
  <c r="F1989" i="2"/>
  <c r="E1989" i="2"/>
  <c r="D1989" i="2"/>
  <c r="H1988" i="2"/>
  <c r="G1988" i="2"/>
  <c r="F1988" i="2"/>
  <c r="E1988" i="2"/>
  <c r="D1988" i="2"/>
  <c r="H1987" i="2"/>
  <c r="G1987" i="2"/>
  <c r="F1987" i="2"/>
  <c r="E1987" i="2"/>
  <c r="D1987" i="2"/>
  <c r="D2030" i="2"/>
  <c r="E2030" i="2"/>
  <c r="F2030" i="2"/>
  <c r="G2030" i="2"/>
  <c r="H2030" i="2"/>
  <c r="D2031" i="2"/>
  <c r="E2031" i="2"/>
  <c r="F2031" i="2"/>
  <c r="G2031" i="2"/>
  <c r="H2031" i="2"/>
  <c r="D2032" i="2"/>
  <c r="E2032" i="2"/>
  <c r="F2032" i="2"/>
  <c r="G2032" i="2"/>
  <c r="H2032" i="2"/>
  <c r="D2033" i="2"/>
  <c r="E2033" i="2"/>
  <c r="F2033" i="2"/>
  <c r="G2033" i="2"/>
  <c r="H2033" i="2"/>
  <c r="D2034" i="2"/>
  <c r="E2034" i="2"/>
  <c r="F2034" i="2"/>
  <c r="G2034" i="2"/>
  <c r="H2034" i="2"/>
  <c r="D2035" i="2"/>
  <c r="E2035" i="2"/>
  <c r="F2035" i="2"/>
  <c r="G2035" i="2"/>
  <c r="H2035" i="2"/>
  <c r="D2036" i="2"/>
  <c r="E2036" i="2"/>
  <c r="F2036" i="2"/>
  <c r="G2036" i="2"/>
  <c r="H2036" i="2"/>
  <c r="D2037" i="2"/>
  <c r="E2037" i="2"/>
  <c r="F2037" i="2"/>
  <c r="G2037" i="2"/>
  <c r="H2037" i="2"/>
  <c r="D2038" i="2"/>
  <c r="E2038" i="2"/>
  <c r="F2038" i="2"/>
  <c r="G2038" i="2"/>
  <c r="H2038" i="2"/>
  <c r="D2039" i="2"/>
  <c r="E2039" i="2"/>
  <c r="F2039" i="2"/>
  <c r="G2039" i="2"/>
  <c r="H2039" i="2"/>
  <c r="D2040" i="2"/>
  <c r="E2040" i="2"/>
  <c r="F2040" i="2"/>
  <c r="G2040" i="2"/>
  <c r="H2040" i="2"/>
  <c r="D2041" i="2"/>
  <c r="E2041" i="2"/>
  <c r="F2041" i="2"/>
  <c r="G2041" i="2"/>
  <c r="H2041" i="2"/>
  <c r="D2042" i="2"/>
  <c r="E2042" i="2"/>
  <c r="F2042" i="2"/>
  <c r="G2042" i="2"/>
  <c r="H2042" i="2"/>
  <c r="D2043" i="2"/>
  <c r="E2043" i="2"/>
  <c r="F2043" i="2"/>
  <c r="G2043" i="2"/>
  <c r="H2043" i="2"/>
  <c r="D2044" i="2"/>
  <c r="E2044" i="2"/>
  <c r="F2044" i="2"/>
  <c r="G2044" i="2"/>
  <c r="H2044" i="2"/>
  <c r="D2045" i="2"/>
  <c r="E2045" i="2"/>
  <c r="F2045" i="2"/>
  <c r="G2045" i="2"/>
  <c r="H2045" i="2"/>
  <c r="D2046" i="2"/>
  <c r="E2046" i="2"/>
  <c r="F2046" i="2"/>
  <c r="G2046" i="2"/>
  <c r="H2046" i="2"/>
  <c r="D2047" i="2"/>
  <c r="E2047" i="2"/>
  <c r="F2047" i="2"/>
  <c r="G2047" i="2"/>
  <c r="H2047" i="2"/>
  <c r="D2048" i="2"/>
  <c r="E2048" i="2"/>
  <c r="F2048" i="2"/>
  <c r="G2048" i="2"/>
  <c r="H2048" i="2"/>
  <c r="D2049" i="2"/>
  <c r="E2049" i="2"/>
  <c r="F2049" i="2"/>
  <c r="G2049" i="2"/>
  <c r="H2049" i="2"/>
  <c r="D2050" i="2"/>
  <c r="E2050" i="2"/>
  <c r="F2050" i="2"/>
  <c r="G2050" i="2"/>
  <c r="H2050" i="2"/>
  <c r="D2051" i="2"/>
  <c r="E2051" i="2"/>
  <c r="F2051" i="2"/>
  <c r="G2051" i="2"/>
  <c r="H2051" i="2"/>
  <c r="D2052" i="2"/>
  <c r="E2052" i="2"/>
  <c r="F2052" i="2"/>
  <c r="G2052" i="2"/>
  <c r="H2052" i="2"/>
  <c r="D2053" i="2"/>
  <c r="E2053" i="2"/>
  <c r="F2053" i="2"/>
  <c r="G2053" i="2"/>
  <c r="H2053" i="2"/>
  <c r="D2054" i="2"/>
  <c r="E2054" i="2"/>
  <c r="F2054" i="2"/>
  <c r="G2054" i="2"/>
  <c r="H2054" i="2"/>
  <c r="D2055" i="2"/>
  <c r="E2055" i="2"/>
  <c r="F2055" i="2"/>
  <c r="G2055" i="2"/>
  <c r="H2055" i="2"/>
  <c r="D2056" i="2"/>
  <c r="E2056" i="2"/>
  <c r="F2056" i="2"/>
  <c r="G2056" i="2"/>
  <c r="H2056" i="2"/>
  <c r="D2057" i="2"/>
  <c r="E2057" i="2"/>
  <c r="F2057" i="2"/>
  <c r="G2057" i="2"/>
  <c r="H2057" i="2"/>
  <c r="D2058" i="2"/>
  <c r="E2058" i="2"/>
  <c r="F2058" i="2"/>
  <c r="G2058" i="2"/>
  <c r="H2058" i="2"/>
  <c r="H2101" i="2"/>
  <c r="G2101" i="2"/>
  <c r="F2101" i="2"/>
  <c r="E2101" i="2"/>
  <c r="D2101" i="2"/>
  <c r="H2100" i="2"/>
  <c r="G2100" i="2"/>
  <c r="F2100" i="2"/>
  <c r="E2100" i="2"/>
  <c r="D2100" i="2"/>
  <c r="H2099" i="2"/>
  <c r="G2099" i="2"/>
  <c r="F2099" i="2"/>
  <c r="E2099" i="2"/>
  <c r="D2099" i="2"/>
  <c r="H2098" i="2"/>
  <c r="G2098" i="2"/>
  <c r="F2098" i="2"/>
  <c r="E2098" i="2"/>
  <c r="D2098" i="2"/>
  <c r="H2097" i="2"/>
  <c r="G2097" i="2"/>
  <c r="F2097" i="2"/>
  <c r="E2097" i="2"/>
  <c r="D2097" i="2"/>
  <c r="H2096" i="2"/>
  <c r="G2096" i="2"/>
  <c r="F2096" i="2"/>
  <c r="E2096" i="2"/>
  <c r="D2096" i="2"/>
  <c r="H2095" i="2"/>
  <c r="G2095" i="2"/>
  <c r="F2095" i="2"/>
  <c r="E2095" i="2"/>
  <c r="D2095" i="2"/>
  <c r="H2094" i="2"/>
  <c r="G2094" i="2"/>
  <c r="F2094" i="2"/>
  <c r="E2094" i="2"/>
  <c r="D2094" i="2"/>
  <c r="H2093" i="2"/>
  <c r="G2093" i="2"/>
  <c r="F2093" i="2"/>
  <c r="E2093" i="2"/>
  <c r="D2093" i="2"/>
  <c r="H2092" i="2"/>
  <c r="G2092" i="2"/>
  <c r="F2092" i="2"/>
  <c r="E2092" i="2"/>
  <c r="D2092" i="2"/>
  <c r="H2091" i="2"/>
  <c r="G2091" i="2"/>
  <c r="F2091" i="2"/>
  <c r="E2091" i="2"/>
  <c r="D2091" i="2"/>
  <c r="H2090" i="2"/>
  <c r="G2090" i="2"/>
  <c r="F2090" i="2"/>
  <c r="E2090" i="2"/>
  <c r="D2090" i="2"/>
  <c r="H2089" i="2"/>
  <c r="G2089" i="2"/>
  <c r="F2089" i="2"/>
  <c r="E2089" i="2"/>
  <c r="D2089" i="2"/>
  <c r="H2088" i="2"/>
  <c r="G2088" i="2"/>
  <c r="F2088" i="2"/>
  <c r="E2088" i="2"/>
  <c r="D2088" i="2"/>
  <c r="H2087" i="2"/>
  <c r="G2087" i="2"/>
  <c r="F2087" i="2"/>
  <c r="E2087" i="2"/>
  <c r="D2087" i="2"/>
  <c r="H2086" i="2"/>
  <c r="G2086" i="2"/>
  <c r="F2086" i="2"/>
  <c r="E2086" i="2"/>
  <c r="D2086" i="2"/>
  <c r="H2085" i="2"/>
  <c r="G2085" i="2"/>
  <c r="F2085" i="2"/>
  <c r="E2085" i="2"/>
  <c r="D2085" i="2"/>
  <c r="H2084" i="2"/>
  <c r="G2084" i="2"/>
  <c r="F2084" i="2"/>
  <c r="E2084" i="2"/>
  <c r="D2084" i="2"/>
  <c r="H2083" i="2"/>
  <c r="G2083" i="2"/>
  <c r="F2083" i="2"/>
  <c r="E2083" i="2"/>
  <c r="D2083" i="2"/>
  <c r="H2082" i="2"/>
  <c r="G2082" i="2"/>
  <c r="F2082" i="2"/>
  <c r="E2082" i="2"/>
  <c r="D2082" i="2"/>
  <c r="H2081" i="2"/>
  <c r="G2081" i="2"/>
  <c r="F2081" i="2"/>
  <c r="E2081" i="2"/>
  <c r="D2081" i="2"/>
  <c r="H2080" i="2"/>
  <c r="G2080" i="2"/>
  <c r="F2080" i="2"/>
  <c r="E2080" i="2"/>
  <c r="D2080" i="2"/>
  <c r="H2079" i="2"/>
  <c r="G2079" i="2"/>
  <c r="F2079" i="2"/>
  <c r="E2079" i="2"/>
  <c r="D2079" i="2"/>
  <c r="H2078" i="2"/>
  <c r="G2078" i="2"/>
  <c r="F2078" i="2"/>
  <c r="E2078" i="2"/>
  <c r="D2078" i="2"/>
  <c r="H2077" i="2"/>
  <c r="G2077" i="2"/>
  <c r="F2077" i="2"/>
  <c r="E2077" i="2"/>
  <c r="D2077" i="2"/>
  <c r="H2076" i="2"/>
  <c r="G2076" i="2"/>
  <c r="F2076" i="2"/>
  <c r="E2076" i="2"/>
  <c r="D2076" i="2"/>
  <c r="H2075" i="2"/>
  <c r="G2075" i="2"/>
  <c r="F2075" i="2"/>
  <c r="E2075" i="2"/>
  <c r="D2075" i="2"/>
  <c r="H2074" i="2"/>
  <c r="G2074" i="2"/>
  <c r="F2074" i="2"/>
  <c r="E2074" i="2"/>
  <c r="D2074" i="2"/>
  <c r="H2073" i="2"/>
  <c r="G2073" i="2"/>
  <c r="F2073" i="2"/>
  <c r="E2073" i="2"/>
  <c r="D2073" i="2"/>
  <c r="H2144" i="2"/>
  <c r="G2144" i="2"/>
  <c r="F2144" i="2"/>
  <c r="E2144" i="2"/>
  <c r="D2144" i="2"/>
  <c r="H2143" i="2"/>
  <c r="G2143" i="2"/>
  <c r="F2143" i="2"/>
  <c r="E2143" i="2"/>
  <c r="D2143" i="2"/>
  <c r="H2142" i="2"/>
  <c r="G2142" i="2"/>
  <c r="F2142" i="2"/>
  <c r="E2142" i="2"/>
  <c r="D2142" i="2"/>
  <c r="H2141" i="2"/>
  <c r="G2141" i="2"/>
  <c r="F2141" i="2"/>
  <c r="E2141" i="2"/>
  <c r="D2141" i="2"/>
  <c r="H2140" i="2"/>
  <c r="G2140" i="2"/>
  <c r="F2140" i="2"/>
  <c r="E2140" i="2"/>
  <c r="D2140" i="2"/>
  <c r="H2139" i="2"/>
  <c r="G2139" i="2"/>
  <c r="F2139" i="2"/>
  <c r="E2139" i="2"/>
  <c r="D2139" i="2"/>
  <c r="H2138" i="2"/>
  <c r="G2138" i="2"/>
  <c r="F2138" i="2"/>
  <c r="E2138" i="2"/>
  <c r="D2138" i="2"/>
  <c r="H2137" i="2"/>
  <c r="G2137" i="2"/>
  <c r="F2137" i="2"/>
  <c r="E2137" i="2"/>
  <c r="D2137" i="2"/>
  <c r="H2136" i="2"/>
  <c r="G2136" i="2"/>
  <c r="F2136" i="2"/>
  <c r="E2136" i="2"/>
  <c r="D2136" i="2"/>
  <c r="H2135" i="2"/>
  <c r="G2135" i="2"/>
  <c r="F2135" i="2"/>
  <c r="E2135" i="2"/>
  <c r="D2135" i="2"/>
  <c r="H2134" i="2"/>
  <c r="G2134" i="2"/>
  <c r="F2134" i="2"/>
  <c r="E2134" i="2"/>
  <c r="D2134" i="2"/>
  <c r="H2133" i="2"/>
  <c r="G2133" i="2"/>
  <c r="F2133" i="2"/>
  <c r="E2133" i="2"/>
  <c r="D2133" i="2"/>
  <c r="H2132" i="2"/>
  <c r="G2132" i="2"/>
  <c r="F2132" i="2"/>
  <c r="E2132" i="2"/>
  <c r="D2132" i="2"/>
  <c r="H2131" i="2"/>
  <c r="G2131" i="2"/>
  <c r="F2131" i="2"/>
  <c r="E2131" i="2"/>
  <c r="D2131" i="2"/>
  <c r="H2130" i="2"/>
  <c r="G2130" i="2"/>
  <c r="F2130" i="2"/>
  <c r="E2130" i="2"/>
  <c r="D2130" i="2"/>
  <c r="H2129" i="2"/>
  <c r="G2129" i="2"/>
  <c r="F2129" i="2"/>
  <c r="E2129" i="2"/>
  <c r="D2129" i="2"/>
  <c r="H2128" i="2"/>
  <c r="G2128" i="2"/>
  <c r="F2128" i="2"/>
  <c r="E2128" i="2"/>
  <c r="D2128" i="2"/>
  <c r="H2127" i="2"/>
  <c r="G2127" i="2"/>
  <c r="F2127" i="2"/>
  <c r="E2127" i="2"/>
  <c r="D2127" i="2"/>
  <c r="H2126" i="2"/>
  <c r="G2126" i="2"/>
  <c r="F2126" i="2"/>
  <c r="E2126" i="2"/>
  <c r="D2126" i="2"/>
  <c r="H2125" i="2"/>
  <c r="G2125" i="2"/>
  <c r="F2125" i="2"/>
  <c r="E2125" i="2"/>
  <c r="D2125" i="2"/>
  <c r="H2124" i="2"/>
  <c r="G2124" i="2"/>
  <c r="F2124" i="2"/>
  <c r="E2124" i="2"/>
  <c r="D2124" i="2"/>
  <c r="H2123" i="2"/>
  <c r="G2123" i="2"/>
  <c r="F2123" i="2"/>
  <c r="E2123" i="2"/>
  <c r="D2123" i="2"/>
  <c r="H2122" i="2"/>
  <c r="G2122" i="2"/>
  <c r="F2122" i="2"/>
  <c r="E2122" i="2"/>
  <c r="D2122" i="2"/>
  <c r="H2121" i="2"/>
  <c r="G2121" i="2"/>
  <c r="F2121" i="2"/>
  <c r="E2121" i="2"/>
  <c r="D2121" i="2"/>
  <c r="H2120" i="2"/>
  <c r="G2120" i="2"/>
  <c r="F2120" i="2"/>
  <c r="E2120" i="2"/>
  <c r="D2120" i="2"/>
  <c r="H2119" i="2"/>
  <c r="G2119" i="2"/>
  <c r="F2119" i="2"/>
  <c r="E2119" i="2"/>
  <c r="D2119" i="2"/>
  <c r="H2118" i="2"/>
  <c r="G2118" i="2"/>
  <c r="F2118" i="2"/>
  <c r="E2118" i="2"/>
  <c r="D2118" i="2"/>
  <c r="H2117" i="2"/>
  <c r="G2117" i="2"/>
  <c r="F2117" i="2"/>
  <c r="E2117" i="2"/>
  <c r="D2117" i="2"/>
  <c r="H2116" i="2"/>
  <c r="G2116" i="2"/>
  <c r="F2116" i="2"/>
  <c r="E2116" i="2"/>
  <c r="D2116" i="2"/>
  <c r="H2187" i="2"/>
  <c r="G2187" i="2"/>
  <c r="F2187" i="2"/>
  <c r="E2187" i="2"/>
  <c r="D2187" i="2"/>
  <c r="H2186" i="2"/>
  <c r="G2186" i="2"/>
  <c r="F2186" i="2"/>
  <c r="E2186" i="2"/>
  <c r="D2186" i="2"/>
  <c r="H2185" i="2"/>
  <c r="G2185" i="2"/>
  <c r="F2185" i="2"/>
  <c r="E2185" i="2"/>
  <c r="D2185" i="2"/>
  <c r="H2184" i="2"/>
  <c r="G2184" i="2"/>
  <c r="F2184" i="2"/>
  <c r="E2184" i="2"/>
  <c r="D2184" i="2"/>
  <c r="H2183" i="2"/>
  <c r="G2183" i="2"/>
  <c r="F2183" i="2"/>
  <c r="E2183" i="2"/>
  <c r="D2183" i="2"/>
  <c r="H2182" i="2"/>
  <c r="G2182" i="2"/>
  <c r="F2182" i="2"/>
  <c r="E2182" i="2"/>
  <c r="D2182" i="2"/>
  <c r="H2181" i="2"/>
  <c r="G2181" i="2"/>
  <c r="F2181" i="2"/>
  <c r="E2181" i="2"/>
  <c r="D2181" i="2"/>
  <c r="H2180" i="2"/>
  <c r="G2180" i="2"/>
  <c r="F2180" i="2"/>
  <c r="E2180" i="2"/>
  <c r="D2180" i="2"/>
  <c r="H2179" i="2"/>
  <c r="G2179" i="2"/>
  <c r="F2179" i="2"/>
  <c r="E2179" i="2"/>
  <c r="D2179" i="2"/>
  <c r="H2178" i="2"/>
  <c r="G2178" i="2"/>
  <c r="F2178" i="2"/>
  <c r="E2178" i="2"/>
  <c r="D2178" i="2"/>
  <c r="H2177" i="2"/>
  <c r="G2177" i="2"/>
  <c r="F2177" i="2"/>
  <c r="E2177" i="2"/>
  <c r="D2177" i="2"/>
  <c r="H2176" i="2"/>
  <c r="G2176" i="2"/>
  <c r="F2176" i="2"/>
  <c r="E2176" i="2"/>
  <c r="D2176" i="2"/>
  <c r="H2175" i="2"/>
  <c r="G2175" i="2"/>
  <c r="F2175" i="2"/>
  <c r="E2175" i="2"/>
  <c r="D2175" i="2"/>
  <c r="H2174" i="2"/>
  <c r="G2174" i="2"/>
  <c r="F2174" i="2"/>
  <c r="E2174" i="2"/>
  <c r="D2174" i="2"/>
  <c r="H2173" i="2"/>
  <c r="G2173" i="2"/>
  <c r="F2173" i="2"/>
  <c r="E2173" i="2"/>
  <c r="D2173" i="2"/>
  <c r="H2172" i="2"/>
  <c r="G2172" i="2"/>
  <c r="F2172" i="2"/>
  <c r="E2172" i="2"/>
  <c r="D2172" i="2"/>
  <c r="H2171" i="2"/>
  <c r="G2171" i="2"/>
  <c r="F2171" i="2"/>
  <c r="E2171" i="2"/>
  <c r="D2171" i="2"/>
  <c r="H2170" i="2"/>
  <c r="G2170" i="2"/>
  <c r="F2170" i="2"/>
  <c r="E2170" i="2"/>
  <c r="D2170" i="2"/>
  <c r="H2169" i="2"/>
  <c r="G2169" i="2"/>
  <c r="F2169" i="2"/>
  <c r="E2169" i="2"/>
  <c r="D2169" i="2"/>
  <c r="H2168" i="2"/>
  <c r="G2168" i="2"/>
  <c r="F2168" i="2"/>
  <c r="E2168" i="2"/>
  <c r="D2168" i="2"/>
  <c r="H2167" i="2"/>
  <c r="G2167" i="2"/>
  <c r="F2167" i="2"/>
  <c r="E2167" i="2"/>
  <c r="D2167" i="2"/>
  <c r="H2166" i="2"/>
  <c r="G2166" i="2"/>
  <c r="F2166" i="2"/>
  <c r="E2166" i="2"/>
  <c r="D2166" i="2"/>
  <c r="H2165" i="2"/>
  <c r="G2165" i="2"/>
  <c r="F2165" i="2"/>
  <c r="E2165" i="2"/>
  <c r="D2165" i="2"/>
  <c r="H2164" i="2"/>
  <c r="G2164" i="2"/>
  <c r="F2164" i="2"/>
  <c r="E2164" i="2"/>
  <c r="D2164" i="2"/>
  <c r="H2163" i="2"/>
  <c r="G2163" i="2"/>
  <c r="F2163" i="2"/>
  <c r="E2163" i="2"/>
  <c r="D2163" i="2"/>
  <c r="H2162" i="2"/>
  <c r="G2162" i="2"/>
  <c r="F2162" i="2"/>
  <c r="E2162" i="2"/>
  <c r="D2162" i="2"/>
  <c r="H2161" i="2"/>
  <c r="G2161" i="2"/>
  <c r="F2161" i="2"/>
  <c r="E2161" i="2"/>
  <c r="D2161" i="2"/>
  <c r="H2160" i="2"/>
  <c r="G2160" i="2"/>
  <c r="F2160" i="2"/>
  <c r="E2160" i="2"/>
  <c r="D2160" i="2"/>
  <c r="H2159" i="2"/>
  <c r="G2159" i="2"/>
  <c r="F2159" i="2"/>
  <c r="E2159" i="2"/>
  <c r="D2159" i="2"/>
  <c r="H2230" i="2"/>
  <c r="G2230" i="2"/>
  <c r="F2230" i="2"/>
  <c r="E2230" i="2"/>
  <c r="D2230" i="2"/>
  <c r="H2229" i="2"/>
  <c r="G2229" i="2"/>
  <c r="F2229" i="2"/>
  <c r="E2229" i="2"/>
  <c r="D2229" i="2"/>
  <c r="H2228" i="2"/>
  <c r="G2228" i="2"/>
  <c r="F2228" i="2"/>
  <c r="E2228" i="2"/>
  <c r="D2228" i="2"/>
  <c r="H2227" i="2"/>
  <c r="G2227" i="2"/>
  <c r="F2227" i="2"/>
  <c r="E2227" i="2"/>
  <c r="D2227" i="2"/>
  <c r="H2226" i="2"/>
  <c r="G2226" i="2"/>
  <c r="F2226" i="2"/>
  <c r="E2226" i="2"/>
  <c r="D2226" i="2"/>
  <c r="H2225" i="2"/>
  <c r="G2225" i="2"/>
  <c r="F2225" i="2"/>
  <c r="E2225" i="2"/>
  <c r="D2225" i="2"/>
  <c r="H2224" i="2"/>
  <c r="G2224" i="2"/>
  <c r="F2224" i="2"/>
  <c r="E2224" i="2"/>
  <c r="D2224" i="2"/>
  <c r="H2223" i="2"/>
  <c r="G2223" i="2"/>
  <c r="F2223" i="2"/>
  <c r="E2223" i="2"/>
  <c r="D2223" i="2"/>
  <c r="H2222" i="2"/>
  <c r="G2222" i="2"/>
  <c r="F2222" i="2"/>
  <c r="E2222" i="2"/>
  <c r="D2222" i="2"/>
  <c r="H2221" i="2"/>
  <c r="G2221" i="2"/>
  <c r="F2221" i="2"/>
  <c r="E2221" i="2"/>
  <c r="D2221" i="2"/>
  <c r="H2220" i="2"/>
  <c r="G2220" i="2"/>
  <c r="F2220" i="2"/>
  <c r="E2220" i="2"/>
  <c r="D2220" i="2"/>
  <c r="H2219" i="2"/>
  <c r="G2219" i="2"/>
  <c r="F2219" i="2"/>
  <c r="E2219" i="2"/>
  <c r="D2219" i="2"/>
  <c r="H2218" i="2"/>
  <c r="G2218" i="2"/>
  <c r="F2218" i="2"/>
  <c r="E2218" i="2"/>
  <c r="D2218" i="2"/>
  <c r="H2217" i="2"/>
  <c r="G2217" i="2"/>
  <c r="F2217" i="2"/>
  <c r="E2217" i="2"/>
  <c r="D2217" i="2"/>
  <c r="H2216" i="2"/>
  <c r="G2216" i="2"/>
  <c r="F2216" i="2"/>
  <c r="E2216" i="2"/>
  <c r="D2216" i="2"/>
  <c r="H2215" i="2"/>
  <c r="G2215" i="2"/>
  <c r="F2215" i="2"/>
  <c r="E2215" i="2"/>
  <c r="D2215" i="2"/>
  <c r="H2214" i="2"/>
  <c r="G2214" i="2"/>
  <c r="F2214" i="2"/>
  <c r="E2214" i="2"/>
  <c r="D2214" i="2"/>
  <c r="H2213" i="2"/>
  <c r="G2213" i="2"/>
  <c r="F2213" i="2"/>
  <c r="E2213" i="2"/>
  <c r="D2213" i="2"/>
  <c r="H2212" i="2"/>
  <c r="G2212" i="2"/>
  <c r="F2212" i="2"/>
  <c r="E2212" i="2"/>
  <c r="D2212" i="2"/>
  <c r="H2211" i="2"/>
  <c r="G2211" i="2"/>
  <c r="F2211" i="2"/>
  <c r="E2211" i="2"/>
  <c r="D2211" i="2"/>
  <c r="H2210" i="2"/>
  <c r="G2210" i="2"/>
  <c r="F2210" i="2"/>
  <c r="E2210" i="2"/>
  <c r="D2210" i="2"/>
  <c r="H2209" i="2"/>
  <c r="G2209" i="2"/>
  <c r="F2209" i="2"/>
  <c r="E2209" i="2"/>
  <c r="D2209" i="2"/>
  <c r="H2208" i="2"/>
  <c r="G2208" i="2"/>
  <c r="F2208" i="2"/>
  <c r="E2208" i="2"/>
  <c r="D2208" i="2"/>
  <c r="H2207" i="2"/>
  <c r="G2207" i="2"/>
  <c r="F2207" i="2"/>
  <c r="E2207" i="2"/>
  <c r="D2207" i="2"/>
  <c r="H2206" i="2"/>
  <c r="G2206" i="2"/>
  <c r="F2206" i="2"/>
  <c r="E2206" i="2"/>
  <c r="D2206" i="2"/>
  <c r="H2205" i="2"/>
  <c r="G2205" i="2"/>
  <c r="F2205" i="2"/>
  <c r="E2205" i="2"/>
  <c r="D2205" i="2"/>
  <c r="H2204" i="2"/>
  <c r="G2204" i="2"/>
  <c r="F2204" i="2"/>
  <c r="E2204" i="2"/>
  <c r="D2204" i="2"/>
  <c r="H2203" i="2"/>
  <c r="G2203" i="2"/>
  <c r="F2203" i="2"/>
  <c r="E2203" i="2"/>
  <c r="D2203" i="2"/>
  <c r="H2202" i="2"/>
  <c r="G2202" i="2"/>
  <c r="F2202" i="2"/>
  <c r="E2202" i="2"/>
  <c r="D2202" i="2"/>
  <c r="H2273" i="2"/>
  <c r="G2273" i="2"/>
  <c r="F2273" i="2"/>
  <c r="E2273" i="2"/>
  <c r="D2273" i="2"/>
  <c r="H2272" i="2"/>
  <c r="G2272" i="2"/>
  <c r="F2272" i="2"/>
  <c r="E2272" i="2"/>
  <c r="D2272" i="2"/>
  <c r="H2271" i="2"/>
  <c r="G2271" i="2"/>
  <c r="F2271" i="2"/>
  <c r="E2271" i="2"/>
  <c r="D2271" i="2"/>
  <c r="H2270" i="2"/>
  <c r="G2270" i="2"/>
  <c r="F2270" i="2"/>
  <c r="E2270" i="2"/>
  <c r="D2270" i="2"/>
  <c r="H2269" i="2"/>
  <c r="G2269" i="2"/>
  <c r="F2269" i="2"/>
  <c r="E2269" i="2"/>
  <c r="D2269" i="2"/>
  <c r="H2268" i="2"/>
  <c r="G2268" i="2"/>
  <c r="F2268" i="2"/>
  <c r="E2268" i="2"/>
  <c r="D2268" i="2"/>
  <c r="H2267" i="2"/>
  <c r="G2267" i="2"/>
  <c r="F2267" i="2"/>
  <c r="E2267" i="2"/>
  <c r="D2267" i="2"/>
  <c r="H2266" i="2"/>
  <c r="G2266" i="2"/>
  <c r="F2266" i="2"/>
  <c r="E2266" i="2"/>
  <c r="D2266" i="2"/>
  <c r="H2265" i="2"/>
  <c r="G2265" i="2"/>
  <c r="F2265" i="2"/>
  <c r="E2265" i="2"/>
  <c r="D2265" i="2"/>
  <c r="H2264" i="2"/>
  <c r="G2264" i="2"/>
  <c r="F2264" i="2"/>
  <c r="E2264" i="2"/>
  <c r="D2264" i="2"/>
  <c r="H2263" i="2"/>
  <c r="G2263" i="2"/>
  <c r="F2263" i="2"/>
  <c r="E2263" i="2"/>
  <c r="D2263" i="2"/>
  <c r="H2262" i="2"/>
  <c r="G2262" i="2"/>
  <c r="F2262" i="2"/>
  <c r="E2262" i="2"/>
  <c r="D2262" i="2"/>
  <c r="H2261" i="2"/>
  <c r="G2261" i="2"/>
  <c r="F2261" i="2"/>
  <c r="E2261" i="2"/>
  <c r="D2261" i="2"/>
  <c r="H2260" i="2"/>
  <c r="G2260" i="2"/>
  <c r="F2260" i="2"/>
  <c r="E2260" i="2"/>
  <c r="D2260" i="2"/>
  <c r="H2259" i="2"/>
  <c r="G2259" i="2"/>
  <c r="F2259" i="2"/>
  <c r="E2259" i="2"/>
  <c r="D2259" i="2"/>
  <c r="H2258" i="2"/>
  <c r="G2258" i="2"/>
  <c r="F2258" i="2"/>
  <c r="E2258" i="2"/>
  <c r="D2258" i="2"/>
  <c r="H2257" i="2"/>
  <c r="G2257" i="2"/>
  <c r="F2257" i="2"/>
  <c r="E2257" i="2"/>
  <c r="D2257" i="2"/>
  <c r="H2256" i="2"/>
  <c r="G2256" i="2"/>
  <c r="F2256" i="2"/>
  <c r="E2256" i="2"/>
  <c r="D2256" i="2"/>
  <c r="H2255" i="2"/>
  <c r="G2255" i="2"/>
  <c r="F2255" i="2"/>
  <c r="E2255" i="2"/>
  <c r="D2255" i="2"/>
  <c r="H2254" i="2"/>
  <c r="G2254" i="2"/>
  <c r="F2254" i="2"/>
  <c r="E2254" i="2"/>
  <c r="D2254" i="2"/>
  <c r="H2253" i="2"/>
  <c r="G2253" i="2"/>
  <c r="F2253" i="2"/>
  <c r="E2253" i="2"/>
  <c r="D2253" i="2"/>
  <c r="H2252" i="2"/>
  <c r="G2252" i="2"/>
  <c r="F2252" i="2"/>
  <c r="E2252" i="2"/>
  <c r="D2252" i="2"/>
  <c r="H2251" i="2"/>
  <c r="G2251" i="2"/>
  <c r="F2251" i="2"/>
  <c r="E2251" i="2"/>
  <c r="D2251" i="2"/>
  <c r="H2250" i="2"/>
  <c r="G2250" i="2"/>
  <c r="F2250" i="2"/>
  <c r="E2250" i="2"/>
  <c r="D2250" i="2"/>
  <c r="H2249" i="2"/>
  <c r="G2249" i="2"/>
  <c r="F2249" i="2"/>
  <c r="E2249" i="2"/>
  <c r="D2249" i="2"/>
  <c r="H2248" i="2"/>
  <c r="G2248" i="2"/>
  <c r="F2248" i="2"/>
  <c r="E2248" i="2"/>
  <c r="D2248" i="2"/>
  <c r="H2247" i="2"/>
  <c r="G2247" i="2"/>
  <c r="F2247" i="2"/>
  <c r="E2247" i="2"/>
  <c r="D2247" i="2"/>
  <c r="H2246" i="2"/>
  <c r="G2246" i="2"/>
  <c r="F2246" i="2"/>
  <c r="E2246" i="2"/>
  <c r="D2246" i="2"/>
  <c r="H2245" i="2"/>
  <c r="G2245" i="2"/>
  <c r="F2245" i="2"/>
  <c r="E2245" i="2"/>
  <c r="D2245" i="2"/>
  <c r="H2316" i="2"/>
  <c r="G2316" i="2"/>
  <c r="F2316" i="2"/>
  <c r="E2316" i="2"/>
  <c r="D2316" i="2"/>
  <c r="H2315" i="2"/>
  <c r="G2315" i="2"/>
  <c r="F2315" i="2"/>
  <c r="E2315" i="2"/>
  <c r="D2315" i="2"/>
  <c r="H2314" i="2"/>
  <c r="G2314" i="2"/>
  <c r="F2314" i="2"/>
  <c r="E2314" i="2"/>
  <c r="D2314" i="2"/>
  <c r="H2313" i="2"/>
  <c r="G2313" i="2"/>
  <c r="F2313" i="2"/>
  <c r="E2313" i="2"/>
  <c r="D2313" i="2"/>
  <c r="H2312" i="2"/>
  <c r="G2312" i="2"/>
  <c r="F2312" i="2"/>
  <c r="E2312" i="2"/>
  <c r="D2312" i="2"/>
  <c r="H2311" i="2"/>
  <c r="G2311" i="2"/>
  <c r="F2311" i="2"/>
  <c r="E2311" i="2"/>
  <c r="D2311" i="2"/>
  <c r="H2310" i="2"/>
  <c r="G2310" i="2"/>
  <c r="F2310" i="2"/>
  <c r="E2310" i="2"/>
  <c r="D2310" i="2"/>
  <c r="H2309" i="2"/>
  <c r="G2309" i="2"/>
  <c r="F2309" i="2"/>
  <c r="E2309" i="2"/>
  <c r="D2309" i="2"/>
  <c r="H2308" i="2"/>
  <c r="G2308" i="2"/>
  <c r="F2308" i="2"/>
  <c r="E2308" i="2"/>
  <c r="D2308" i="2"/>
  <c r="H2307" i="2"/>
  <c r="G2307" i="2"/>
  <c r="F2307" i="2"/>
  <c r="E2307" i="2"/>
  <c r="D2307" i="2"/>
  <c r="H2306" i="2"/>
  <c r="G2306" i="2"/>
  <c r="F2306" i="2"/>
  <c r="E2306" i="2"/>
  <c r="D2306" i="2"/>
  <c r="H2305" i="2"/>
  <c r="G2305" i="2"/>
  <c r="F2305" i="2"/>
  <c r="E2305" i="2"/>
  <c r="D2305" i="2"/>
  <c r="H2304" i="2"/>
  <c r="G2304" i="2"/>
  <c r="F2304" i="2"/>
  <c r="E2304" i="2"/>
  <c r="D2304" i="2"/>
  <c r="H2303" i="2"/>
  <c r="G2303" i="2"/>
  <c r="F2303" i="2"/>
  <c r="E2303" i="2"/>
  <c r="D2303" i="2"/>
  <c r="H2302" i="2"/>
  <c r="G2302" i="2"/>
  <c r="F2302" i="2"/>
  <c r="E2302" i="2"/>
  <c r="D2302" i="2"/>
  <c r="H2301" i="2"/>
  <c r="G2301" i="2"/>
  <c r="F2301" i="2"/>
  <c r="E2301" i="2"/>
  <c r="D2301" i="2"/>
  <c r="H2300" i="2"/>
  <c r="G2300" i="2"/>
  <c r="F2300" i="2"/>
  <c r="E2300" i="2"/>
  <c r="D2300" i="2"/>
  <c r="H2299" i="2"/>
  <c r="G2299" i="2"/>
  <c r="F2299" i="2"/>
  <c r="E2299" i="2"/>
  <c r="D2299" i="2"/>
  <c r="H2298" i="2"/>
  <c r="G2298" i="2"/>
  <c r="F2298" i="2"/>
  <c r="E2298" i="2"/>
  <c r="D2298" i="2"/>
  <c r="H2297" i="2"/>
  <c r="G2297" i="2"/>
  <c r="F2297" i="2"/>
  <c r="E2297" i="2"/>
  <c r="D2297" i="2"/>
  <c r="H2296" i="2"/>
  <c r="G2296" i="2"/>
  <c r="F2296" i="2"/>
  <c r="E2296" i="2"/>
  <c r="D2296" i="2"/>
  <c r="H2295" i="2"/>
  <c r="G2295" i="2"/>
  <c r="F2295" i="2"/>
  <c r="E2295" i="2"/>
  <c r="D2295" i="2"/>
  <c r="H2294" i="2"/>
  <c r="G2294" i="2"/>
  <c r="F2294" i="2"/>
  <c r="E2294" i="2"/>
  <c r="D2294" i="2"/>
  <c r="H2293" i="2"/>
  <c r="G2293" i="2"/>
  <c r="F2293" i="2"/>
  <c r="E2293" i="2"/>
  <c r="D2293" i="2"/>
  <c r="H2292" i="2"/>
  <c r="G2292" i="2"/>
  <c r="F2292" i="2"/>
  <c r="E2292" i="2"/>
  <c r="D2292" i="2"/>
  <c r="H2291" i="2"/>
  <c r="G2291" i="2"/>
  <c r="F2291" i="2"/>
  <c r="E2291" i="2"/>
  <c r="D2291" i="2"/>
  <c r="H2290" i="2"/>
  <c r="G2290" i="2"/>
  <c r="F2290" i="2"/>
  <c r="E2290" i="2"/>
  <c r="D2290" i="2"/>
  <c r="H2289" i="2"/>
  <c r="G2289" i="2"/>
  <c r="F2289" i="2"/>
  <c r="E2289" i="2"/>
  <c r="D2289" i="2"/>
  <c r="H2288" i="2"/>
  <c r="G2288" i="2"/>
  <c r="F2288" i="2"/>
  <c r="E2288" i="2"/>
  <c r="D2288" i="2"/>
  <c r="H2359" i="2"/>
  <c r="G2359" i="2"/>
  <c r="F2359" i="2"/>
  <c r="E2359" i="2"/>
  <c r="D2359" i="2"/>
  <c r="H2358" i="2"/>
  <c r="G2358" i="2"/>
  <c r="F2358" i="2"/>
  <c r="E2358" i="2"/>
  <c r="D2358" i="2"/>
  <c r="H2357" i="2"/>
  <c r="G2357" i="2"/>
  <c r="F2357" i="2"/>
  <c r="E2357" i="2"/>
  <c r="D2357" i="2"/>
  <c r="H2356" i="2"/>
  <c r="G2356" i="2"/>
  <c r="F2356" i="2"/>
  <c r="E2356" i="2"/>
  <c r="D2356" i="2"/>
  <c r="H2355" i="2"/>
  <c r="G2355" i="2"/>
  <c r="F2355" i="2"/>
  <c r="E2355" i="2"/>
  <c r="D2355" i="2"/>
  <c r="H2354" i="2"/>
  <c r="G2354" i="2"/>
  <c r="F2354" i="2"/>
  <c r="E2354" i="2"/>
  <c r="D2354" i="2"/>
  <c r="H2353" i="2"/>
  <c r="G2353" i="2"/>
  <c r="F2353" i="2"/>
  <c r="E2353" i="2"/>
  <c r="D2353" i="2"/>
  <c r="H2352" i="2"/>
  <c r="G2352" i="2"/>
  <c r="F2352" i="2"/>
  <c r="E2352" i="2"/>
  <c r="D2352" i="2"/>
  <c r="H2351" i="2"/>
  <c r="G2351" i="2"/>
  <c r="F2351" i="2"/>
  <c r="E2351" i="2"/>
  <c r="D2351" i="2"/>
  <c r="H2350" i="2"/>
  <c r="G2350" i="2"/>
  <c r="F2350" i="2"/>
  <c r="E2350" i="2"/>
  <c r="D2350" i="2"/>
  <c r="H2349" i="2"/>
  <c r="G2349" i="2"/>
  <c r="F2349" i="2"/>
  <c r="E2349" i="2"/>
  <c r="D2349" i="2"/>
  <c r="H2348" i="2"/>
  <c r="G2348" i="2"/>
  <c r="F2348" i="2"/>
  <c r="E2348" i="2"/>
  <c r="D2348" i="2"/>
  <c r="H2347" i="2"/>
  <c r="G2347" i="2"/>
  <c r="F2347" i="2"/>
  <c r="E2347" i="2"/>
  <c r="D2347" i="2"/>
  <c r="H2346" i="2"/>
  <c r="G2346" i="2"/>
  <c r="F2346" i="2"/>
  <c r="E2346" i="2"/>
  <c r="D2346" i="2"/>
  <c r="H2345" i="2"/>
  <c r="G2345" i="2"/>
  <c r="F2345" i="2"/>
  <c r="E2345" i="2"/>
  <c r="D2345" i="2"/>
  <c r="H2344" i="2"/>
  <c r="G2344" i="2"/>
  <c r="F2344" i="2"/>
  <c r="E2344" i="2"/>
  <c r="D2344" i="2"/>
  <c r="H2343" i="2"/>
  <c r="G2343" i="2"/>
  <c r="F2343" i="2"/>
  <c r="E2343" i="2"/>
  <c r="D2343" i="2"/>
  <c r="H2342" i="2"/>
  <c r="G2342" i="2"/>
  <c r="F2342" i="2"/>
  <c r="E2342" i="2"/>
  <c r="D2342" i="2"/>
  <c r="H2341" i="2"/>
  <c r="G2341" i="2"/>
  <c r="F2341" i="2"/>
  <c r="E2341" i="2"/>
  <c r="D2341" i="2"/>
  <c r="H2340" i="2"/>
  <c r="G2340" i="2"/>
  <c r="F2340" i="2"/>
  <c r="E2340" i="2"/>
  <c r="D2340" i="2"/>
  <c r="H2339" i="2"/>
  <c r="G2339" i="2"/>
  <c r="F2339" i="2"/>
  <c r="E2339" i="2"/>
  <c r="D2339" i="2"/>
  <c r="H2338" i="2"/>
  <c r="G2338" i="2"/>
  <c r="F2338" i="2"/>
  <c r="E2338" i="2"/>
  <c r="D2338" i="2"/>
  <c r="H2337" i="2"/>
  <c r="G2337" i="2"/>
  <c r="F2337" i="2"/>
  <c r="E2337" i="2"/>
  <c r="D2337" i="2"/>
  <c r="H2336" i="2"/>
  <c r="G2336" i="2"/>
  <c r="F2336" i="2"/>
  <c r="E2336" i="2"/>
  <c r="D2336" i="2"/>
  <c r="H2335" i="2"/>
  <c r="G2335" i="2"/>
  <c r="F2335" i="2"/>
  <c r="E2335" i="2"/>
  <c r="D2335" i="2"/>
  <c r="H2334" i="2"/>
  <c r="G2334" i="2"/>
  <c r="F2334" i="2"/>
  <c r="E2334" i="2"/>
  <c r="D2334" i="2"/>
  <c r="H2333" i="2"/>
  <c r="G2333" i="2"/>
  <c r="F2333" i="2"/>
  <c r="E2333" i="2"/>
  <c r="D2333" i="2"/>
  <c r="H2332" i="2"/>
  <c r="G2332" i="2"/>
  <c r="F2332" i="2"/>
  <c r="E2332" i="2"/>
  <c r="D2332" i="2"/>
  <c r="H2331" i="2"/>
  <c r="G2331" i="2"/>
  <c r="F2331" i="2"/>
  <c r="E2331" i="2"/>
  <c r="D2331" i="2"/>
</calcChain>
</file>

<file path=xl/sharedStrings.xml><?xml version="1.0" encoding="utf-8"?>
<sst xmlns="http://schemas.openxmlformats.org/spreadsheetml/2006/main" count="7372" uniqueCount="2603">
  <si>
    <t>注　参考：2014年1月時点の契約型私募投信の銘柄数及び純資産残高（投資信託協会公表）2,907銘柄、39,795,038百万円</t>
    <rPh sb="40" eb="42">
      <t>コウヒョウ</t>
    </rPh>
    <phoneticPr fontId="3"/>
  </si>
  <si>
    <t>N/A</t>
    <phoneticPr fontId="3"/>
  </si>
  <si>
    <t>投資信託（私募）（注）</t>
    <rPh sb="9" eb="10">
      <t>チュウ</t>
    </rPh>
    <phoneticPr fontId="3"/>
  </si>
  <si>
    <t>投資信託（公募）</t>
    <phoneticPr fontId="3"/>
  </si>
  <si>
    <t>投資信託振替制度</t>
    <phoneticPr fontId="3"/>
  </si>
  <si>
    <t>CP</t>
    <phoneticPr fontId="3"/>
  </si>
  <si>
    <t>短期社債振替制度</t>
    <phoneticPr fontId="3"/>
  </si>
  <si>
    <t xml:space="preserve">その他（非公募）                        </t>
    <phoneticPr fontId="3"/>
  </si>
  <si>
    <t xml:space="preserve">その他（公募）                          </t>
    <phoneticPr fontId="3"/>
  </si>
  <si>
    <t xml:space="preserve">資産担保型社債（非居住者分）（非公募）  </t>
    <phoneticPr fontId="3"/>
  </si>
  <si>
    <t xml:space="preserve">資産担保型社債（非居住者分）（公募）    </t>
    <phoneticPr fontId="3"/>
  </si>
  <si>
    <t xml:space="preserve">円建外債（非公募）                      </t>
    <phoneticPr fontId="3"/>
  </si>
  <si>
    <t xml:space="preserve">円建外債（公募）                        </t>
    <phoneticPr fontId="3"/>
  </si>
  <si>
    <t xml:space="preserve">資産担保型社債（非公募）                </t>
    <phoneticPr fontId="3"/>
  </si>
  <si>
    <t xml:space="preserve">資産担保型社債（公募）                  </t>
    <phoneticPr fontId="3"/>
  </si>
  <si>
    <t xml:space="preserve">社債（非公募）うち一般担保付                      </t>
    <phoneticPr fontId="3"/>
  </si>
  <si>
    <t xml:space="preserve">社債（非公募）                          </t>
    <phoneticPr fontId="3"/>
  </si>
  <si>
    <t xml:space="preserve">社債（公募）うち一般担保付                         </t>
    <phoneticPr fontId="3"/>
  </si>
  <si>
    <t xml:space="preserve">社債（公募）                            </t>
    <phoneticPr fontId="3"/>
  </si>
  <si>
    <t xml:space="preserve">金融債（利付）                          </t>
    <phoneticPr fontId="3"/>
  </si>
  <si>
    <t xml:space="preserve">金融債（割引）                          </t>
    <phoneticPr fontId="3"/>
  </si>
  <si>
    <t xml:space="preserve">地方公社債（非公募）                    </t>
    <phoneticPr fontId="3"/>
  </si>
  <si>
    <t xml:space="preserve">地方公社債（公募）                      </t>
    <phoneticPr fontId="3"/>
  </si>
  <si>
    <t xml:space="preserve">非公募特別債                            </t>
    <phoneticPr fontId="3"/>
  </si>
  <si>
    <t xml:space="preserve">財投機関債等(公募)                           </t>
    <phoneticPr fontId="3"/>
  </si>
  <si>
    <t xml:space="preserve">政府保証債（公募）                      </t>
    <phoneticPr fontId="3"/>
  </si>
  <si>
    <t xml:space="preserve">地方債（非公募）                        </t>
    <phoneticPr fontId="3"/>
  </si>
  <si>
    <t xml:space="preserve">地方債（公募）                        </t>
    <phoneticPr fontId="3"/>
  </si>
  <si>
    <t>一般債振替制度</t>
    <phoneticPr fontId="3"/>
  </si>
  <si>
    <t>外国株券等</t>
    <phoneticPr fontId="3"/>
  </si>
  <si>
    <t>外国株券等保管振替決済制度</t>
    <phoneticPr fontId="3"/>
  </si>
  <si>
    <t>受益証券発行信託の受益権</t>
    <phoneticPr fontId="3"/>
  </si>
  <si>
    <t>投資信託受益権（ETF）</t>
    <phoneticPr fontId="3"/>
  </si>
  <si>
    <t>投資口</t>
    <phoneticPr fontId="3"/>
  </si>
  <si>
    <t>優先出資</t>
    <phoneticPr fontId="3"/>
  </si>
  <si>
    <t>新株予約権</t>
    <phoneticPr fontId="3"/>
  </si>
  <si>
    <t>新株予約権付社債</t>
    <phoneticPr fontId="3"/>
  </si>
  <si>
    <t>株式</t>
    <phoneticPr fontId="3"/>
  </si>
  <si>
    <t>株式等振替制度</t>
    <phoneticPr fontId="3"/>
  </si>
  <si>
    <t>（百万円）</t>
    <phoneticPr fontId="3"/>
  </si>
  <si>
    <t>そ　の　他</t>
    <phoneticPr fontId="3"/>
  </si>
  <si>
    <t>信託銀行</t>
    <phoneticPr fontId="3"/>
  </si>
  <si>
    <t>銀行</t>
    <phoneticPr fontId="3"/>
  </si>
  <si>
    <t>証券</t>
    <phoneticPr fontId="3"/>
  </si>
  <si>
    <t>合　　計</t>
    <phoneticPr fontId="3"/>
  </si>
  <si>
    <t>銘　柄　数</t>
    <phoneticPr fontId="3"/>
  </si>
  <si>
    <t>証券種類</t>
    <phoneticPr fontId="3"/>
  </si>
  <si>
    <t>制　　度</t>
    <phoneticPr fontId="3"/>
  </si>
  <si>
    <t>【口座残高（時価総額）】</t>
    <phoneticPr fontId="3"/>
  </si>
  <si>
    <t>全制度口座残高一覧（2014年1月末時点）</t>
    <phoneticPr fontId="3"/>
  </si>
  <si>
    <t>注　参考：2014年2月時点の契約型私募投信の銘柄数及び純資産残高（投資信託協会公表）2,930銘柄、40,254,867百万円</t>
    <phoneticPr fontId="3"/>
  </si>
  <si>
    <t>投資信託（私募）（注）</t>
    <phoneticPr fontId="3"/>
  </si>
  <si>
    <t>全制度口座残高一覧（2014年2月末時点）</t>
    <phoneticPr fontId="3"/>
  </si>
  <si>
    <t>注　参考：2014年3月時点の契約型私募投信の銘柄数及び純資産残高（投資信託協会公表）2,976銘柄、40,179,896百万円</t>
    <phoneticPr fontId="3"/>
  </si>
  <si>
    <t>N/A</t>
  </si>
  <si>
    <t>全制度口座残高一覧（2014年3月末時点）</t>
    <phoneticPr fontId="3"/>
  </si>
  <si>
    <t>注　参考：2014年4月時点の契約型私募投信の銘柄数及び純資産残高（投資信託協会公表）3,018銘柄、40,715,259百万円</t>
    <phoneticPr fontId="3"/>
  </si>
  <si>
    <t>全制度口座残高一覧（2014年4月末時点）</t>
    <phoneticPr fontId="3"/>
  </si>
  <si>
    <t>注　参考：2014年5月末時点の契約型私募投信の銘柄数及び純資産残高（投資信託協会公表）3,046銘柄、41,525,325百万円</t>
    <rPh sb="12" eb="13">
      <t>スエ</t>
    </rPh>
    <phoneticPr fontId="3"/>
  </si>
  <si>
    <t>銘　柄　数</t>
    <phoneticPr fontId="3"/>
  </si>
  <si>
    <t>証券種類</t>
    <phoneticPr fontId="3"/>
  </si>
  <si>
    <t>制　　度</t>
    <phoneticPr fontId="3"/>
  </si>
  <si>
    <t>【口座残高（時価総額）】</t>
    <phoneticPr fontId="3"/>
  </si>
  <si>
    <t>全制度口座残高一覧（2014年5月末時点）</t>
    <phoneticPr fontId="3"/>
  </si>
  <si>
    <t>注　参考：2014年6月末時点の契約型私募投信の銘柄数及び純資産残高（投資信託協会公表）3,100銘柄、41,950,476百万円</t>
    <phoneticPr fontId="3"/>
  </si>
  <si>
    <t>N/A</t>
    <phoneticPr fontId="3"/>
  </si>
  <si>
    <t>投資信託（私募）（注）</t>
    <phoneticPr fontId="3"/>
  </si>
  <si>
    <t>投資信託（公募）</t>
    <phoneticPr fontId="3"/>
  </si>
  <si>
    <t>投資信託振替制度</t>
    <phoneticPr fontId="3"/>
  </si>
  <si>
    <t>CP</t>
    <phoneticPr fontId="3"/>
  </si>
  <si>
    <t>短期社債振替制度</t>
    <phoneticPr fontId="3"/>
  </si>
  <si>
    <t xml:space="preserve">その他（非公募）                        </t>
    <phoneticPr fontId="3"/>
  </si>
  <si>
    <t xml:space="preserve">その他（公募）                          </t>
    <phoneticPr fontId="3"/>
  </si>
  <si>
    <t xml:space="preserve">資産担保型社債（非居住者分）（非公募）  </t>
    <phoneticPr fontId="3"/>
  </si>
  <si>
    <t xml:space="preserve">資産担保型社債（非居住者分）（公募）    </t>
    <phoneticPr fontId="3"/>
  </si>
  <si>
    <t xml:space="preserve">円建外債（非公募）                      </t>
    <phoneticPr fontId="3"/>
  </si>
  <si>
    <t xml:space="preserve">円建外債（公募）                        </t>
    <phoneticPr fontId="3"/>
  </si>
  <si>
    <t xml:space="preserve">資産担保型社債（非公募）                </t>
    <phoneticPr fontId="3"/>
  </si>
  <si>
    <t xml:space="preserve">資産担保型社債（公募）                  </t>
    <phoneticPr fontId="3"/>
  </si>
  <si>
    <t xml:space="preserve">社債（非公募）うち一般担保付                      </t>
    <phoneticPr fontId="3"/>
  </si>
  <si>
    <t xml:space="preserve">社債（非公募）                          </t>
    <phoneticPr fontId="3"/>
  </si>
  <si>
    <t xml:space="preserve">社債（公募）うち一般担保付                         </t>
    <phoneticPr fontId="3"/>
  </si>
  <si>
    <t xml:space="preserve">社債（公募）                            </t>
    <phoneticPr fontId="3"/>
  </si>
  <si>
    <t xml:space="preserve">金融債（利付）                          </t>
    <phoneticPr fontId="3"/>
  </si>
  <si>
    <t xml:space="preserve">金融債（割引）                          </t>
    <phoneticPr fontId="3"/>
  </si>
  <si>
    <t xml:space="preserve">地方公社債（非公募）                    </t>
    <phoneticPr fontId="3"/>
  </si>
  <si>
    <t xml:space="preserve">地方公社債（公募）                      </t>
    <phoneticPr fontId="3"/>
  </si>
  <si>
    <t xml:space="preserve">非公募特別債                            </t>
    <phoneticPr fontId="3"/>
  </si>
  <si>
    <t xml:space="preserve">財投機関債等(公募)                           </t>
    <phoneticPr fontId="3"/>
  </si>
  <si>
    <t xml:space="preserve">政府保証債（公募）                      </t>
    <phoneticPr fontId="3"/>
  </si>
  <si>
    <t xml:space="preserve">地方債（非公募）                        </t>
    <phoneticPr fontId="3"/>
  </si>
  <si>
    <t xml:space="preserve">地方債（公募）                        </t>
    <phoneticPr fontId="3"/>
  </si>
  <si>
    <t>一般債振替制度</t>
    <phoneticPr fontId="3"/>
  </si>
  <si>
    <t>外国株券等</t>
    <phoneticPr fontId="3"/>
  </si>
  <si>
    <t>外国株券等保管振替決済制度</t>
    <phoneticPr fontId="3"/>
  </si>
  <si>
    <t>受益証券発行信託の受益権</t>
    <phoneticPr fontId="3"/>
  </si>
  <si>
    <t>投資信託受益権（ETF）</t>
    <phoneticPr fontId="3"/>
  </si>
  <si>
    <t>投資口</t>
    <phoneticPr fontId="3"/>
  </si>
  <si>
    <t>優先出資</t>
    <phoneticPr fontId="3"/>
  </si>
  <si>
    <t>新株予約権</t>
    <phoneticPr fontId="3"/>
  </si>
  <si>
    <t>新株予約権付社債</t>
    <phoneticPr fontId="3"/>
  </si>
  <si>
    <t>株式</t>
    <phoneticPr fontId="3"/>
  </si>
  <si>
    <t>株式等振替制度</t>
    <phoneticPr fontId="3"/>
  </si>
  <si>
    <t>（百万円）</t>
    <phoneticPr fontId="3"/>
  </si>
  <si>
    <t>そ　の　他</t>
    <phoneticPr fontId="3"/>
  </si>
  <si>
    <t>信託銀行</t>
    <phoneticPr fontId="3"/>
  </si>
  <si>
    <t>銀行</t>
    <phoneticPr fontId="3"/>
  </si>
  <si>
    <t>証券</t>
    <phoneticPr fontId="3"/>
  </si>
  <si>
    <t>合　　計</t>
    <phoneticPr fontId="3"/>
  </si>
  <si>
    <t>銘　柄　数</t>
    <phoneticPr fontId="3"/>
  </si>
  <si>
    <t>証券種類</t>
    <phoneticPr fontId="3"/>
  </si>
  <si>
    <t>全制度口座残高一覧（2014年6月末時点）</t>
    <phoneticPr fontId="3"/>
  </si>
  <si>
    <t>注　参考：2014年7月末時点の契約型私募投信の銘柄数及び純資産残高（投資信託協会公表）3,142銘柄、42,429,744百万円</t>
    <rPh sb="0" eb="1">
      <t>チュウ</t>
    </rPh>
    <phoneticPr fontId="3"/>
  </si>
  <si>
    <t>全制度口座残高一覧（2014年7月末時点）</t>
    <phoneticPr fontId="3"/>
  </si>
  <si>
    <t>注　参考：2014年8月末時点の契約型私募投信の銘柄数及び純資産残高（投資信託協会公表）3,166銘柄、43,012,750百万円</t>
    <phoneticPr fontId="3"/>
  </si>
  <si>
    <t>全制度口座残高一覧（2014年8月末時点）</t>
    <phoneticPr fontId="3"/>
  </si>
  <si>
    <t>注　参考：2014年9月末時点の契約型私募投信の銘柄数及び純資産残高（投資信託協会公表）3,212銘柄、43,803,375百万円</t>
    <phoneticPr fontId="3"/>
  </si>
  <si>
    <t>全制度口座残高一覧（2014年9月末時点）</t>
    <phoneticPr fontId="3"/>
  </si>
  <si>
    <t>注　参考：2014年10月末時点の契約型私募投信の銘柄数及び純資産残高（投資信託協会公表）3,261銘柄、44,531,297百万円</t>
    <phoneticPr fontId="3"/>
  </si>
  <si>
    <t>全制度口座残高一覧（2014年10月末時点）</t>
    <phoneticPr fontId="3"/>
  </si>
  <si>
    <t>注　参考：2014年11月末時点の契約型私募投信の銘柄数及び純資産残高（投資信託協会公表）3,311銘柄、46,234,526百万円</t>
    <phoneticPr fontId="3"/>
  </si>
  <si>
    <t>全制度口座残高一覧（2014年11月末時点）</t>
    <phoneticPr fontId="3"/>
  </si>
  <si>
    <t>注　参考：2014年12月末時点の契約型私募投信の銘柄数及び純資産残高（投資信託協会公表）3,351銘柄、46,870,659百万円</t>
    <phoneticPr fontId="3"/>
  </si>
  <si>
    <t>全制度口座残高一覧（2014年12月末時点）</t>
    <phoneticPr fontId="3"/>
  </si>
  <si>
    <t>注　参考：2015年1月末時点の契約型私募投信の銘柄数及び純資産残高（投資信託協会公表）3,401銘柄、47,622,045百万円</t>
    <phoneticPr fontId="3"/>
  </si>
  <si>
    <t>全制度口座残高一覧（2015年1月末時点）</t>
    <phoneticPr fontId="3"/>
  </si>
  <si>
    <t>注　参考：2015年2月末時点の契約型私募投信の銘柄数及び純資産残高（投資信託協会公表）3,475銘柄、49,504,009百万円</t>
    <phoneticPr fontId="3"/>
  </si>
  <si>
    <t>全制度口座残高一覧（2015年2月末時点）</t>
    <phoneticPr fontId="3"/>
  </si>
  <si>
    <t>注　参考：2015年3月末時点の契約型私募投信の銘柄数及び純資産残高（投資信託協会公表）3,540銘柄、51,009,231百万円</t>
    <phoneticPr fontId="3"/>
  </si>
  <si>
    <t>全制度口座残高一覧（2015年3月末時点）</t>
    <phoneticPr fontId="3"/>
  </si>
  <si>
    <t>注　参考：2015年4月末時点の契約型私募投信の銘柄数及び純資産残高（投資信託協会公表）3,596銘柄、51,781,893百万円</t>
    <phoneticPr fontId="3"/>
  </si>
  <si>
    <t>全制度口座残高一覧（2015年4月末時点）</t>
    <phoneticPr fontId="3"/>
  </si>
  <si>
    <t>注　参考：2015年5月末時点の契約型私募投信の銘柄数及び純資産残高（投資信託協会公表）3,659銘柄、53,292,184百万円</t>
    <phoneticPr fontId="3"/>
  </si>
  <si>
    <t>全制度口座残高一覧（2015年5月末時点）</t>
    <phoneticPr fontId="3"/>
  </si>
  <si>
    <t>注　参考：2015年6月末時点の契約型私募投信の銘柄数及び純資産残高（投資信託協会公表）3,725銘柄、53,889,379百万円</t>
    <phoneticPr fontId="3"/>
  </si>
  <si>
    <t>全制度口座残高一覧（2015年6月末時点）</t>
    <phoneticPr fontId="3"/>
  </si>
  <si>
    <t>注　参考：2015年7月末時点の契約型私募投信の銘柄数及び純資産残高（投資信託協会公表）3,763銘柄、55,693,596百万円</t>
    <phoneticPr fontId="3"/>
  </si>
  <si>
    <t>全制度口座残高一覧（2015年7月末時点）</t>
    <phoneticPr fontId="3"/>
  </si>
  <si>
    <t>注　参考：2015年8月末時点の契約型私募投信の銘柄数及び純資産残高（投資信託協会公表）3,788銘柄、56,071,938百万円</t>
    <phoneticPr fontId="3"/>
  </si>
  <si>
    <t>全制度口座残高一覧（2015年8月末時点）</t>
    <phoneticPr fontId="3"/>
  </si>
  <si>
    <t>注　参考：2015年9月末時点の契約型私募投信の銘柄数及び純資産残高（投資信託協会公表）3,834銘柄、56,741,557百万円</t>
    <phoneticPr fontId="3"/>
  </si>
  <si>
    <t>全制度口座残高一覧（2015年9月末時点）</t>
    <phoneticPr fontId="3"/>
  </si>
  <si>
    <t>注　参考：2015年10月末時点の契約型私募投信の銘柄数及び純資産残高（投資信託協会公表）3,873銘柄、59,790,794百万円</t>
    <phoneticPr fontId="3"/>
  </si>
  <si>
    <t>全制度口座残高一覧（2015年10月末時点）</t>
    <phoneticPr fontId="3"/>
  </si>
  <si>
    <t>注　参考：2015年11月末時点の契約型私募投信の銘柄数及び純資産残高（投資信託協会公表）3,919銘柄、61,476,839百万円</t>
    <phoneticPr fontId="3"/>
  </si>
  <si>
    <t>全制度口座残高一覧（2015年11月末時点）</t>
    <phoneticPr fontId="3"/>
  </si>
  <si>
    <t>注　参考：2015年12月末時点の契約型私募投信の銘柄数及び純資産残高（投資信託協会公表）3,961銘柄、61,973,756百万円</t>
    <phoneticPr fontId="3"/>
  </si>
  <si>
    <t>全制度口座残高一覧（2015年12月末時点）</t>
    <phoneticPr fontId="3"/>
  </si>
  <si>
    <t>注　参考：2016年1月末時点の契約型私募投信の銘柄数及び純資産残高（投資信託協会公表）3,986銘柄、61,239,622百万円</t>
    <phoneticPr fontId="3"/>
  </si>
  <si>
    <t>全制度口座残高一覧（2016年1月末時点）</t>
    <phoneticPr fontId="3"/>
  </si>
  <si>
    <t>全制度口座残高一覧（2016年2月末時点）</t>
    <phoneticPr fontId="3"/>
  </si>
  <si>
    <t>【口座残高（時価総額）】</t>
    <phoneticPr fontId="3"/>
  </si>
  <si>
    <t>制　　度</t>
    <phoneticPr fontId="3"/>
  </si>
  <si>
    <t>証券種類</t>
    <phoneticPr fontId="3"/>
  </si>
  <si>
    <t>銘　柄　数</t>
    <phoneticPr fontId="3"/>
  </si>
  <si>
    <t>合　　計</t>
    <phoneticPr fontId="3"/>
  </si>
  <si>
    <t>証券</t>
    <phoneticPr fontId="3"/>
  </si>
  <si>
    <t>銀行</t>
    <phoneticPr fontId="3"/>
  </si>
  <si>
    <t>信託銀行</t>
    <phoneticPr fontId="3"/>
  </si>
  <si>
    <t>そ　の　他</t>
    <phoneticPr fontId="3"/>
  </si>
  <si>
    <t>（百万円）</t>
    <phoneticPr fontId="3"/>
  </si>
  <si>
    <t>株式等振替制度</t>
    <phoneticPr fontId="3"/>
  </si>
  <si>
    <t>株式</t>
    <phoneticPr fontId="3"/>
  </si>
  <si>
    <t>新株予約権付社債</t>
    <phoneticPr fontId="3"/>
  </si>
  <si>
    <t>新株予約権</t>
    <phoneticPr fontId="3"/>
  </si>
  <si>
    <t>優先出資</t>
    <phoneticPr fontId="3"/>
  </si>
  <si>
    <t>投資口</t>
    <phoneticPr fontId="3"/>
  </si>
  <si>
    <t>投資信託受益権（ETF）</t>
    <phoneticPr fontId="3"/>
  </si>
  <si>
    <t>受益証券発行信託の受益権</t>
    <phoneticPr fontId="3"/>
  </si>
  <si>
    <t>外国株券等保管振替決済制度</t>
    <phoneticPr fontId="3"/>
  </si>
  <si>
    <t>外国株券等</t>
    <phoneticPr fontId="3"/>
  </si>
  <si>
    <t>一般債振替制度</t>
    <phoneticPr fontId="3"/>
  </si>
  <si>
    <t xml:space="preserve">地方債（公募）                        </t>
    <phoneticPr fontId="3"/>
  </si>
  <si>
    <t xml:space="preserve">地方債（非公募）                        </t>
    <phoneticPr fontId="3"/>
  </si>
  <si>
    <t xml:space="preserve">政府保証債（公募）                      </t>
    <phoneticPr fontId="3"/>
  </si>
  <si>
    <t xml:space="preserve">財投機関債等(公募)                           </t>
    <phoneticPr fontId="3"/>
  </si>
  <si>
    <t xml:space="preserve">非公募特別債                            </t>
    <phoneticPr fontId="3"/>
  </si>
  <si>
    <t xml:space="preserve">地方公社債（公募）                      </t>
    <phoneticPr fontId="3"/>
  </si>
  <si>
    <t xml:space="preserve">地方公社債（非公募）                    </t>
    <phoneticPr fontId="3"/>
  </si>
  <si>
    <t xml:space="preserve">金融債（割引）                          </t>
    <phoneticPr fontId="3"/>
  </si>
  <si>
    <t xml:space="preserve">金融債（利付）                          </t>
    <phoneticPr fontId="3"/>
  </si>
  <si>
    <t xml:space="preserve">社債（公募）                            </t>
    <phoneticPr fontId="3"/>
  </si>
  <si>
    <t xml:space="preserve">社債（公募）うち一般担保付                         </t>
    <phoneticPr fontId="3"/>
  </si>
  <si>
    <t xml:space="preserve">社債（非公募）                          </t>
    <phoneticPr fontId="3"/>
  </si>
  <si>
    <t xml:space="preserve">社債（非公募）うち一般担保付                      </t>
    <phoneticPr fontId="3"/>
  </si>
  <si>
    <t xml:space="preserve">資産担保型社債（公募）                  </t>
    <phoneticPr fontId="3"/>
  </si>
  <si>
    <t xml:space="preserve">資産担保型社債（非公募）                </t>
    <phoneticPr fontId="3"/>
  </si>
  <si>
    <t xml:space="preserve">円建外債（公募）                        </t>
    <phoneticPr fontId="3"/>
  </si>
  <si>
    <t xml:space="preserve">円建外債（非公募）                      </t>
    <phoneticPr fontId="3"/>
  </si>
  <si>
    <t xml:space="preserve">資産担保型社債（非居住者分）（公募）    </t>
    <phoneticPr fontId="3"/>
  </si>
  <si>
    <t xml:space="preserve">資産担保型社債（非居住者分）（非公募）  </t>
    <phoneticPr fontId="3"/>
  </si>
  <si>
    <t xml:space="preserve">その他（公募）                          </t>
    <phoneticPr fontId="3"/>
  </si>
  <si>
    <t xml:space="preserve">その他（非公募）                        </t>
    <phoneticPr fontId="3"/>
  </si>
  <si>
    <t>短期社債振替制度</t>
    <phoneticPr fontId="3"/>
  </si>
  <si>
    <t>CP</t>
    <phoneticPr fontId="3"/>
  </si>
  <si>
    <t>投資信託振替制度</t>
    <phoneticPr fontId="3"/>
  </si>
  <si>
    <t>投資信託（公募）</t>
    <phoneticPr fontId="3"/>
  </si>
  <si>
    <t>投資信託（私募）（注）</t>
    <phoneticPr fontId="3"/>
  </si>
  <si>
    <t>注　参考：2016年2月末時点の契約型私募投信の銘柄数及び純資産残高（投資信託協会公表）4,031銘柄、60,762,158百万円</t>
    <phoneticPr fontId="3"/>
  </si>
  <si>
    <t>全制度口座残高一覧（2016年3月末時点）</t>
    <phoneticPr fontId="3"/>
  </si>
  <si>
    <t>【口座残高（時価総額）】</t>
    <phoneticPr fontId="3"/>
  </si>
  <si>
    <t>制　　度</t>
    <phoneticPr fontId="3"/>
  </si>
  <si>
    <t>証券種類</t>
    <phoneticPr fontId="3"/>
  </si>
  <si>
    <t>銘　柄　数</t>
    <phoneticPr fontId="3"/>
  </si>
  <si>
    <t>合　　計</t>
    <phoneticPr fontId="3"/>
  </si>
  <si>
    <t>証券</t>
    <phoneticPr fontId="3"/>
  </si>
  <si>
    <t>銀行</t>
    <phoneticPr fontId="3"/>
  </si>
  <si>
    <t>信託銀行</t>
    <phoneticPr fontId="3"/>
  </si>
  <si>
    <t>そ　の　他</t>
    <phoneticPr fontId="3"/>
  </si>
  <si>
    <t>（百万円）</t>
    <phoneticPr fontId="3"/>
  </si>
  <si>
    <t>株式等振替制度</t>
    <phoneticPr fontId="3"/>
  </si>
  <si>
    <t>株式</t>
    <phoneticPr fontId="3"/>
  </si>
  <si>
    <t>新株予約権付社債</t>
    <phoneticPr fontId="3"/>
  </si>
  <si>
    <t>新株予約権</t>
    <phoneticPr fontId="3"/>
  </si>
  <si>
    <t>優先出資</t>
    <phoneticPr fontId="3"/>
  </si>
  <si>
    <t>投資口</t>
    <phoneticPr fontId="3"/>
  </si>
  <si>
    <t>投資信託受益権（ETF）</t>
    <phoneticPr fontId="3"/>
  </si>
  <si>
    <t>受益証券発行信託の受益権</t>
    <phoneticPr fontId="3"/>
  </si>
  <si>
    <t>外国株券等保管振替決済制度</t>
    <phoneticPr fontId="3"/>
  </si>
  <si>
    <t>外国株券等</t>
    <phoneticPr fontId="3"/>
  </si>
  <si>
    <t>一般債振替制度</t>
    <phoneticPr fontId="3"/>
  </si>
  <si>
    <t xml:space="preserve">地方債（公募）                        </t>
    <phoneticPr fontId="3"/>
  </si>
  <si>
    <t xml:space="preserve">地方債（非公募）                        </t>
    <phoneticPr fontId="3"/>
  </si>
  <si>
    <t xml:space="preserve">政府保証債（公募）                      </t>
    <phoneticPr fontId="3"/>
  </si>
  <si>
    <t xml:space="preserve">財投機関債等(公募)                           </t>
    <phoneticPr fontId="3"/>
  </si>
  <si>
    <t xml:space="preserve">非公募特別債                            </t>
    <phoneticPr fontId="3"/>
  </si>
  <si>
    <t xml:space="preserve">地方公社債（公募）                      </t>
    <phoneticPr fontId="3"/>
  </si>
  <si>
    <t xml:space="preserve">地方公社債（非公募）                    </t>
    <phoneticPr fontId="3"/>
  </si>
  <si>
    <t xml:space="preserve">金融債（割引）                          </t>
    <phoneticPr fontId="3"/>
  </si>
  <si>
    <t xml:space="preserve">金融債（利付）                          </t>
    <phoneticPr fontId="3"/>
  </si>
  <si>
    <t xml:space="preserve">社債（公募）                            </t>
    <phoneticPr fontId="3"/>
  </si>
  <si>
    <t xml:space="preserve">社債（公募）うち一般担保付                         </t>
    <phoneticPr fontId="3"/>
  </si>
  <si>
    <t xml:space="preserve">社債（非公募）                          </t>
    <phoneticPr fontId="3"/>
  </si>
  <si>
    <t xml:space="preserve">社債（非公募）うち一般担保付                      </t>
    <phoneticPr fontId="3"/>
  </si>
  <si>
    <t xml:space="preserve">資産担保型社債（公募）                  </t>
    <phoneticPr fontId="3"/>
  </si>
  <si>
    <t xml:space="preserve">資産担保型社債（非公募）                </t>
    <phoneticPr fontId="3"/>
  </si>
  <si>
    <t xml:space="preserve">円建外債（公募）                        </t>
    <phoneticPr fontId="3"/>
  </si>
  <si>
    <t xml:space="preserve">円建外債（非公募）                      </t>
    <phoneticPr fontId="3"/>
  </si>
  <si>
    <t xml:space="preserve">資産担保型社債（非居住者分）（公募）    </t>
    <phoneticPr fontId="3"/>
  </si>
  <si>
    <t xml:space="preserve">資産担保型社債（非居住者分）（非公募）  </t>
    <phoneticPr fontId="3"/>
  </si>
  <si>
    <t xml:space="preserve">その他（公募）                          </t>
    <phoneticPr fontId="3"/>
  </si>
  <si>
    <t xml:space="preserve">その他（非公募）                        </t>
    <phoneticPr fontId="3"/>
  </si>
  <si>
    <t>短期社債振替制度</t>
    <phoneticPr fontId="3"/>
  </si>
  <si>
    <t>CP</t>
    <phoneticPr fontId="3"/>
  </si>
  <si>
    <t>投資信託振替制度</t>
    <phoneticPr fontId="3"/>
  </si>
  <si>
    <t>投資信託（公募）</t>
    <phoneticPr fontId="3"/>
  </si>
  <si>
    <t>投資信託（私募）（注）</t>
    <phoneticPr fontId="3"/>
  </si>
  <si>
    <t>N/A</t>
    <phoneticPr fontId="3"/>
  </si>
  <si>
    <t>注　参考：2016年3月末時点の契約型私募投信の銘柄数及び純資産残高（投資信託協会公表）4,112銘柄、63,607,773百万円</t>
    <phoneticPr fontId="3"/>
  </si>
  <si>
    <t>全制度口座残高一覧（2016年4月末時点）</t>
    <phoneticPr fontId="3"/>
  </si>
  <si>
    <t>【口座残高（時価総額）】</t>
    <phoneticPr fontId="3"/>
  </si>
  <si>
    <t>制　　度</t>
    <phoneticPr fontId="3"/>
  </si>
  <si>
    <t>証券種類</t>
    <phoneticPr fontId="3"/>
  </si>
  <si>
    <t>銘　柄　数</t>
    <phoneticPr fontId="3"/>
  </si>
  <si>
    <t>合　　計</t>
    <phoneticPr fontId="3"/>
  </si>
  <si>
    <t>証券</t>
    <phoneticPr fontId="3"/>
  </si>
  <si>
    <t>銀行</t>
    <phoneticPr fontId="3"/>
  </si>
  <si>
    <t>信託銀行</t>
    <phoneticPr fontId="3"/>
  </si>
  <si>
    <t>そ　の　他</t>
    <phoneticPr fontId="3"/>
  </si>
  <si>
    <t>（百万円）</t>
    <phoneticPr fontId="3"/>
  </si>
  <si>
    <t>株式等振替制度</t>
    <phoneticPr fontId="3"/>
  </si>
  <si>
    <t>株式</t>
    <phoneticPr fontId="3"/>
  </si>
  <si>
    <t>新株予約権付社債</t>
    <phoneticPr fontId="3"/>
  </si>
  <si>
    <t>新株予約権</t>
    <phoneticPr fontId="3"/>
  </si>
  <si>
    <t>優先出資</t>
    <phoneticPr fontId="3"/>
  </si>
  <si>
    <t>投資口</t>
    <phoneticPr fontId="3"/>
  </si>
  <si>
    <t>投資信託受益権（ETF）</t>
    <phoneticPr fontId="3"/>
  </si>
  <si>
    <t>受益証券発行信託の受益権</t>
    <phoneticPr fontId="3"/>
  </si>
  <si>
    <t>外国株券等保管振替決済制度</t>
    <phoneticPr fontId="3"/>
  </si>
  <si>
    <t>外国株券等</t>
    <phoneticPr fontId="3"/>
  </si>
  <si>
    <t>一般債振替制度</t>
    <phoneticPr fontId="3"/>
  </si>
  <si>
    <t xml:space="preserve">地方債（公募）                        </t>
    <phoneticPr fontId="3"/>
  </si>
  <si>
    <t xml:space="preserve">地方債（非公募）                        </t>
    <phoneticPr fontId="3"/>
  </si>
  <si>
    <t xml:space="preserve">政府保証債（公募）                      </t>
    <phoneticPr fontId="3"/>
  </si>
  <si>
    <t xml:space="preserve">財投機関債等(公募)                           </t>
    <phoneticPr fontId="3"/>
  </si>
  <si>
    <t xml:space="preserve">非公募特別債                            </t>
    <phoneticPr fontId="3"/>
  </si>
  <si>
    <t xml:space="preserve">地方公社債（公募）                      </t>
    <phoneticPr fontId="3"/>
  </si>
  <si>
    <t xml:space="preserve">地方公社債（非公募）                    </t>
    <phoneticPr fontId="3"/>
  </si>
  <si>
    <t xml:space="preserve">金融債（割引）                          </t>
    <phoneticPr fontId="3"/>
  </si>
  <si>
    <t xml:space="preserve">金融債（利付）                          </t>
    <phoneticPr fontId="3"/>
  </si>
  <si>
    <t xml:space="preserve">社債（公募）                            </t>
    <phoneticPr fontId="3"/>
  </si>
  <si>
    <t xml:space="preserve">社債（公募）うち一般担保付                         </t>
    <phoneticPr fontId="3"/>
  </si>
  <si>
    <t xml:space="preserve">社債（非公募）                          </t>
    <phoneticPr fontId="3"/>
  </si>
  <si>
    <t xml:space="preserve">社債（非公募）うち一般担保付                      </t>
    <phoneticPr fontId="3"/>
  </si>
  <si>
    <t xml:space="preserve">資産担保型社債（公募）                  </t>
    <phoneticPr fontId="3"/>
  </si>
  <si>
    <t xml:space="preserve">資産担保型社債（非公募）                </t>
    <phoneticPr fontId="3"/>
  </si>
  <si>
    <t xml:space="preserve">円建外債（公募）                        </t>
    <phoneticPr fontId="3"/>
  </si>
  <si>
    <t xml:space="preserve">円建外債（非公募）                      </t>
    <phoneticPr fontId="3"/>
  </si>
  <si>
    <t xml:space="preserve">資産担保型社債（非居住者分）（公募）    </t>
    <phoneticPr fontId="3"/>
  </si>
  <si>
    <t xml:space="preserve">資産担保型社債（非居住者分）（非公募）  </t>
    <phoneticPr fontId="3"/>
  </si>
  <si>
    <t xml:space="preserve">その他（公募）                          </t>
    <phoneticPr fontId="3"/>
  </si>
  <si>
    <t xml:space="preserve">その他（非公募）                        </t>
    <phoneticPr fontId="3"/>
  </si>
  <si>
    <t>短期社債振替制度</t>
    <phoneticPr fontId="3"/>
  </si>
  <si>
    <t>CP</t>
    <phoneticPr fontId="3"/>
  </si>
  <si>
    <t>投資信託振替制度</t>
    <phoneticPr fontId="3"/>
  </si>
  <si>
    <t>投資信託（公募）</t>
    <phoneticPr fontId="3"/>
  </si>
  <si>
    <t>投資信託（私募）（注）</t>
    <phoneticPr fontId="3"/>
  </si>
  <si>
    <t>N/A</t>
    <phoneticPr fontId="3"/>
  </si>
  <si>
    <t>注　参考：2016年4月末時点の契約型私募投信の銘柄数及び純資産残高（投資信託協会公表）4,214銘柄、64,001,626百万円</t>
    <phoneticPr fontId="3"/>
  </si>
  <si>
    <t>全制度口座残高一覧（2016年5月末時点）</t>
    <phoneticPr fontId="3"/>
  </si>
  <si>
    <t>【口座残高（時価総額）】</t>
    <phoneticPr fontId="3"/>
  </si>
  <si>
    <t>制　　度</t>
    <phoneticPr fontId="3"/>
  </si>
  <si>
    <t>証券種類</t>
    <phoneticPr fontId="3"/>
  </si>
  <si>
    <t>銘　柄　数</t>
    <phoneticPr fontId="3"/>
  </si>
  <si>
    <t>合　　計</t>
    <phoneticPr fontId="3"/>
  </si>
  <si>
    <t>証券</t>
    <phoneticPr fontId="3"/>
  </si>
  <si>
    <t>銀行</t>
    <phoneticPr fontId="3"/>
  </si>
  <si>
    <t>信託銀行</t>
    <phoneticPr fontId="3"/>
  </si>
  <si>
    <t>そ　の　他</t>
    <phoneticPr fontId="3"/>
  </si>
  <si>
    <t>（百万円）</t>
    <phoneticPr fontId="3"/>
  </si>
  <si>
    <t>株式等振替制度</t>
    <phoneticPr fontId="3"/>
  </si>
  <si>
    <t>株式</t>
    <phoneticPr fontId="3"/>
  </si>
  <si>
    <t>新株予約権付社債</t>
    <phoneticPr fontId="3"/>
  </si>
  <si>
    <t>新株予約権</t>
    <phoneticPr fontId="3"/>
  </si>
  <si>
    <t>優先出資</t>
    <phoneticPr fontId="3"/>
  </si>
  <si>
    <t>投資口</t>
    <phoneticPr fontId="3"/>
  </si>
  <si>
    <t>投資信託受益権（ETF）</t>
    <phoneticPr fontId="3"/>
  </si>
  <si>
    <t>受益証券発行信託の受益権</t>
    <phoneticPr fontId="3"/>
  </si>
  <si>
    <t>外国株券等保管振替決済制度</t>
    <phoneticPr fontId="3"/>
  </si>
  <si>
    <t>外国株券等</t>
    <phoneticPr fontId="3"/>
  </si>
  <si>
    <t>一般債振替制度</t>
    <phoneticPr fontId="3"/>
  </si>
  <si>
    <t xml:space="preserve">地方債（公募）                        </t>
    <phoneticPr fontId="3"/>
  </si>
  <si>
    <t xml:space="preserve">地方債（非公募）                        </t>
    <phoneticPr fontId="3"/>
  </si>
  <si>
    <t xml:space="preserve">政府保証債（公募）                      </t>
    <phoneticPr fontId="3"/>
  </si>
  <si>
    <t xml:space="preserve">財投機関債等(公募)                           </t>
    <phoneticPr fontId="3"/>
  </si>
  <si>
    <t xml:space="preserve">非公募特別債                            </t>
    <phoneticPr fontId="3"/>
  </si>
  <si>
    <t xml:space="preserve">地方公社債（公募）                      </t>
    <phoneticPr fontId="3"/>
  </si>
  <si>
    <t xml:space="preserve">地方公社債（非公募）                    </t>
    <phoneticPr fontId="3"/>
  </si>
  <si>
    <t xml:space="preserve">金融債（割引）                          </t>
    <phoneticPr fontId="3"/>
  </si>
  <si>
    <t xml:space="preserve">金融債（利付）                          </t>
    <phoneticPr fontId="3"/>
  </si>
  <si>
    <t xml:space="preserve">社債（公募）                            </t>
    <phoneticPr fontId="3"/>
  </si>
  <si>
    <t xml:space="preserve">社債（公募）うち一般担保付                         </t>
    <phoneticPr fontId="3"/>
  </si>
  <si>
    <t xml:space="preserve">社債（非公募）                          </t>
    <phoneticPr fontId="3"/>
  </si>
  <si>
    <t xml:space="preserve">社債（非公募）うち一般担保付                      </t>
    <phoneticPr fontId="3"/>
  </si>
  <si>
    <t xml:space="preserve">資産担保型社債（公募）                  </t>
    <phoneticPr fontId="3"/>
  </si>
  <si>
    <t xml:space="preserve">資産担保型社債（非公募）                </t>
    <phoneticPr fontId="3"/>
  </si>
  <si>
    <t xml:space="preserve">円建外債（公募）                        </t>
    <phoneticPr fontId="3"/>
  </si>
  <si>
    <t xml:space="preserve">円建外債（非公募）                      </t>
    <phoneticPr fontId="3"/>
  </si>
  <si>
    <t xml:space="preserve">資産担保型社債（非居住者分）（公募）    </t>
    <phoneticPr fontId="3"/>
  </si>
  <si>
    <t xml:space="preserve">資産担保型社債（非居住者分）（非公募）  </t>
    <phoneticPr fontId="3"/>
  </si>
  <si>
    <t xml:space="preserve">その他（公募）                          </t>
    <phoneticPr fontId="3"/>
  </si>
  <si>
    <t xml:space="preserve">その他（非公募）                        </t>
    <phoneticPr fontId="3"/>
  </si>
  <si>
    <t>短期社債振替制度</t>
    <phoneticPr fontId="3"/>
  </si>
  <si>
    <t>CP</t>
    <phoneticPr fontId="3"/>
  </si>
  <si>
    <t>投資信託振替制度</t>
    <phoneticPr fontId="3"/>
  </si>
  <si>
    <t>投資信託（公募）</t>
    <phoneticPr fontId="3"/>
  </si>
  <si>
    <t>投資信託（私募）（注）</t>
    <phoneticPr fontId="3"/>
  </si>
  <si>
    <t>N/A</t>
    <phoneticPr fontId="3"/>
  </si>
  <si>
    <t>参考：2016年5月末時点の契約型私募投信の銘柄数及び純資産残高（投資信託協会公表）4,314銘柄、65,738,208百万円</t>
    <phoneticPr fontId="3"/>
  </si>
  <si>
    <t>全制度口座残高一覧（2016年6月末時点）</t>
    <phoneticPr fontId="3"/>
  </si>
  <si>
    <t>【口座残高（時価総額）】</t>
    <phoneticPr fontId="3"/>
  </si>
  <si>
    <t>制　　度</t>
    <phoneticPr fontId="3"/>
  </si>
  <si>
    <t>証券種類</t>
    <phoneticPr fontId="3"/>
  </si>
  <si>
    <t>銘　柄　数</t>
    <phoneticPr fontId="3"/>
  </si>
  <si>
    <t>合　　計</t>
    <phoneticPr fontId="3"/>
  </si>
  <si>
    <t>証券</t>
    <phoneticPr fontId="3"/>
  </si>
  <si>
    <t>銀行</t>
    <phoneticPr fontId="3"/>
  </si>
  <si>
    <t>信託銀行</t>
    <phoneticPr fontId="3"/>
  </si>
  <si>
    <t>そ　の　他</t>
    <phoneticPr fontId="3"/>
  </si>
  <si>
    <t>（百万円）</t>
    <phoneticPr fontId="3"/>
  </si>
  <si>
    <t>株式等振替制度</t>
    <phoneticPr fontId="3"/>
  </si>
  <si>
    <t>株式</t>
    <phoneticPr fontId="3"/>
  </si>
  <si>
    <t>新株予約権付社債</t>
    <phoneticPr fontId="3"/>
  </si>
  <si>
    <t>新株予約権</t>
    <phoneticPr fontId="3"/>
  </si>
  <si>
    <t>優先出資</t>
    <phoneticPr fontId="3"/>
  </si>
  <si>
    <t>投資口</t>
    <phoneticPr fontId="3"/>
  </si>
  <si>
    <t>投資信託受益権（ETF）</t>
    <phoneticPr fontId="3"/>
  </si>
  <si>
    <t>受益証券発行信託の受益権</t>
    <phoneticPr fontId="3"/>
  </si>
  <si>
    <t>外国株券等保管振替決済制度</t>
    <phoneticPr fontId="3"/>
  </si>
  <si>
    <t>外国株券等</t>
    <phoneticPr fontId="3"/>
  </si>
  <si>
    <t>一般債振替制度</t>
    <phoneticPr fontId="3"/>
  </si>
  <si>
    <t xml:space="preserve">地方債（公募）                        </t>
    <phoneticPr fontId="3"/>
  </si>
  <si>
    <t xml:space="preserve">地方債（非公募）                        </t>
    <phoneticPr fontId="3"/>
  </si>
  <si>
    <t xml:space="preserve">政府保証債（公募）                      </t>
    <phoneticPr fontId="3"/>
  </si>
  <si>
    <t xml:space="preserve">財投機関債等(公募)                           </t>
    <phoneticPr fontId="3"/>
  </si>
  <si>
    <t xml:space="preserve">非公募特別債                            </t>
    <phoneticPr fontId="3"/>
  </si>
  <si>
    <t xml:space="preserve">地方公社債（公募）                      </t>
    <phoneticPr fontId="3"/>
  </si>
  <si>
    <t xml:space="preserve">地方公社債（非公募）                    </t>
    <phoneticPr fontId="3"/>
  </si>
  <si>
    <t xml:space="preserve">金融債（割引）                          </t>
    <phoneticPr fontId="3"/>
  </si>
  <si>
    <t xml:space="preserve">金融債（利付）                          </t>
    <phoneticPr fontId="3"/>
  </si>
  <si>
    <t xml:space="preserve">社債（公募）                            </t>
    <phoneticPr fontId="3"/>
  </si>
  <si>
    <t xml:space="preserve">社債（公募）うち一般担保付                         </t>
    <phoneticPr fontId="3"/>
  </si>
  <si>
    <t xml:space="preserve">社債（非公募）                          </t>
    <phoneticPr fontId="3"/>
  </si>
  <si>
    <t xml:space="preserve">社債（非公募）うち一般担保付                      </t>
    <phoneticPr fontId="3"/>
  </si>
  <si>
    <t xml:space="preserve">資産担保型社債（公募）                  </t>
    <phoneticPr fontId="3"/>
  </si>
  <si>
    <t xml:space="preserve">資産担保型社債（非公募）                </t>
    <phoneticPr fontId="3"/>
  </si>
  <si>
    <t xml:space="preserve">円建外債（公募）                        </t>
    <phoneticPr fontId="3"/>
  </si>
  <si>
    <t xml:space="preserve">円建外債（非公募）                      </t>
    <phoneticPr fontId="3"/>
  </si>
  <si>
    <t xml:space="preserve">資産担保型社債（非居住者分）（公募）    </t>
    <phoneticPr fontId="3"/>
  </si>
  <si>
    <t xml:space="preserve">資産担保型社債（非居住者分）（非公募）  </t>
    <phoneticPr fontId="3"/>
  </si>
  <si>
    <t xml:space="preserve">その他（公募）                          </t>
    <phoneticPr fontId="3"/>
  </si>
  <si>
    <t xml:space="preserve">その他（非公募）                        </t>
    <phoneticPr fontId="3"/>
  </si>
  <si>
    <t>短期社債振替制度</t>
    <phoneticPr fontId="3"/>
  </si>
  <si>
    <t>CP</t>
    <phoneticPr fontId="3"/>
  </si>
  <si>
    <t>投資信託振替制度</t>
    <phoneticPr fontId="3"/>
  </si>
  <si>
    <t>投資信託（公募）</t>
    <phoneticPr fontId="3"/>
  </si>
  <si>
    <t>投資信託（私募）（注）</t>
    <phoneticPr fontId="3"/>
  </si>
  <si>
    <t>N/A</t>
    <phoneticPr fontId="3"/>
  </si>
  <si>
    <t>注　参考：2016年6月末時点の契約型私募投信の銘柄数及び純資産残高（投資信託協会公表）4,416銘柄、66,177,237百万円</t>
    <phoneticPr fontId="3"/>
  </si>
  <si>
    <t>全制度口座残高一覧（2016年7月末時点）</t>
    <phoneticPr fontId="3"/>
  </si>
  <si>
    <t>【口座残高（時価総額）】</t>
    <phoneticPr fontId="3"/>
  </si>
  <si>
    <t>制　　度</t>
    <phoneticPr fontId="3"/>
  </si>
  <si>
    <t>証券種類</t>
    <phoneticPr fontId="3"/>
  </si>
  <si>
    <t>銘　柄　数</t>
    <phoneticPr fontId="3"/>
  </si>
  <si>
    <t>合　　計</t>
    <phoneticPr fontId="3"/>
  </si>
  <si>
    <t>証券</t>
    <phoneticPr fontId="3"/>
  </si>
  <si>
    <t>銀行</t>
    <phoneticPr fontId="3"/>
  </si>
  <si>
    <t>信託銀行</t>
    <phoneticPr fontId="3"/>
  </si>
  <si>
    <t>そ　の　他</t>
    <phoneticPr fontId="3"/>
  </si>
  <si>
    <t>（百万円）</t>
    <phoneticPr fontId="3"/>
  </si>
  <si>
    <t>株式等振替制度</t>
    <phoneticPr fontId="3"/>
  </si>
  <si>
    <t>株式</t>
    <phoneticPr fontId="3"/>
  </si>
  <si>
    <t>新株予約権付社債</t>
    <phoneticPr fontId="3"/>
  </si>
  <si>
    <t>新株予約権</t>
    <phoneticPr fontId="3"/>
  </si>
  <si>
    <t>優先出資</t>
    <phoneticPr fontId="3"/>
  </si>
  <si>
    <t>投資口</t>
    <phoneticPr fontId="3"/>
  </si>
  <si>
    <t>投資信託受益権（ETF）</t>
    <phoneticPr fontId="3"/>
  </si>
  <si>
    <t>受益証券発行信託の受益権</t>
    <phoneticPr fontId="3"/>
  </si>
  <si>
    <t>外国株券等保管振替決済制度</t>
    <phoneticPr fontId="3"/>
  </si>
  <si>
    <t>外国株券等</t>
    <phoneticPr fontId="3"/>
  </si>
  <si>
    <t>一般債振替制度</t>
    <phoneticPr fontId="3"/>
  </si>
  <si>
    <t xml:space="preserve">地方債（公募）                        </t>
    <phoneticPr fontId="3"/>
  </si>
  <si>
    <t xml:space="preserve">地方債（非公募）                        </t>
    <phoneticPr fontId="3"/>
  </si>
  <si>
    <t xml:space="preserve">政府保証債（公募）                      </t>
    <phoneticPr fontId="3"/>
  </si>
  <si>
    <t xml:space="preserve">財投機関債等(公募)                           </t>
    <phoneticPr fontId="3"/>
  </si>
  <si>
    <t xml:space="preserve">非公募特別債                            </t>
    <phoneticPr fontId="3"/>
  </si>
  <si>
    <t xml:space="preserve">地方公社債（公募）                      </t>
    <phoneticPr fontId="3"/>
  </si>
  <si>
    <t xml:space="preserve">地方公社債（非公募）                    </t>
    <phoneticPr fontId="3"/>
  </si>
  <si>
    <t xml:space="preserve">金融債（割引）                          </t>
    <phoneticPr fontId="3"/>
  </si>
  <si>
    <t xml:space="preserve">金融債（利付）                          </t>
    <phoneticPr fontId="3"/>
  </si>
  <si>
    <t xml:space="preserve">社債（公募）                            </t>
    <phoneticPr fontId="3"/>
  </si>
  <si>
    <t xml:space="preserve">社債（公募）うち一般担保付                         </t>
    <phoneticPr fontId="3"/>
  </si>
  <si>
    <t xml:space="preserve">社債（非公募）                          </t>
    <phoneticPr fontId="3"/>
  </si>
  <si>
    <t xml:space="preserve">社債（非公募）うち一般担保付                      </t>
    <phoneticPr fontId="3"/>
  </si>
  <si>
    <t xml:space="preserve">資産担保型社債（公募）                  </t>
    <phoneticPr fontId="3"/>
  </si>
  <si>
    <t xml:space="preserve">資産担保型社債（非公募）                </t>
    <phoneticPr fontId="3"/>
  </si>
  <si>
    <t xml:space="preserve">円建外債（公募）                        </t>
    <phoneticPr fontId="3"/>
  </si>
  <si>
    <t xml:space="preserve">円建外債（非公募）                      </t>
    <phoneticPr fontId="3"/>
  </si>
  <si>
    <t xml:space="preserve">資産担保型社債（非居住者分）（公募）    </t>
    <phoneticPr fontId="3"/>
  </si>
  <si>
    <t xml:space="preserve">資産担保型社債（非居住者分）（非公募）  </t>
    <phoneticPr fontId="3"/>
  </si>
  <si>
    <t xml:space="preserve">その他（公募）                          </t>
    <phoneticPr fontId="3"/>
  </si>
  <si>
    <t xml:space="preserve">その他（非公募）                        </t>
    <phoneticPr fontId="3"/>
  </si>
  <si>
    <t>短期社債振替制度</t>
    <phoneticPr fontId="3"/>
  </si>
  <si>
    <t>CP</t>
    <phoneticPr fontId="3"/>
  </si>
  <si>
    <t>投資信託振替制度</t>
    <phoneticPr fontId="3"/>
  </si>
  <si>
    <t>投資信託（公募）</t>
    <phoneticPr fontId="3"/>
  </si>
  <si>
    <t>投資信託（私募）（注）</t>
    <phoneticPr fontId="3"/>
  </si>
  <si>
    <t>N/A</t>
    <phoneticPr fontId="3"/>
  </si>
  <si>
    <t>注　参考：2016年7月末時点の契約型私募投信の銘柄数及び純資産残高（投資信託協会公表）4,481銘柄、68,624,954百万円</t>
    <phoneticPr fontId="3"/>
  </si>
  <si>
    <t>全制度口座残高一覧（2016年8月末時点）</t>
    <phoneticPr fontId="3"/>
  </si>
  <si>
    <t>【口座残高（時価総額）】</t>
    <phoneticPr fontId="3"/>
  </si>
  <si>
    <t>制　　度</t>
    <phoneticPr fontId="3"/>
  </si>
  <si>
    <t>証券種類</t>
    <phoneticPr fontId="3"/>
  </si>
  <si>
    <t>銘　柄　数</t>
    <phoneticPr fontId="3"/>
  </si>
  <si>
    <t>合　　計</t>
    <phoneticPr fontId="3"/>
  </si>
  <si>
    <t>証券</t>
    <phoneticPr fontId="3"/>
  </si>
  <si>
    <t>銀行</t>
    <phoneticPr fontId="3"/>
  </si>
  <si>
    <t>信託銀行</t>
    <phoneticPr fontId="3"/>
  </si>
  <si>
    <t>そ　の　他</t>
    <phoneticPr fontId="3"/>
  </si>
  <si>
    <t>（百万円）</t>
    <phoneticPr fontId="3"/>
  </si>
  <si>
    <t>株式等振替制度</t>
    <phoneticPr fontId="3"/>
  </si>
  <si>
    <t>株式</t>
    <phoneticPr fontId="3"/>
  </si>
  <si>
    <t>新株予約権付社債</t>
    <phoneticPr fontId="3"/>
  </si>
  <si>
    <t>新株予約権</t>
    <phoneticPr fontId="3"/>
  </si>
  <si>
    <t>優先出資</t>
    <phoneticPr fontId="3"/>
  </si>
  <si>
    <t>投資口</t>
    <phoneticPr fontId="3"/>
  </si>
  <si>
    <t>投資信託受益権（ETF）</t>
    <phoneticPr fontId="3"/>
  </si>
  <si>
    <t>受益証券発行信託の受益権</t>
    <phoneticPr fontId="3"/>
  </si>
  <si>
    <t>外国株券等保管振替決済制度</t>
    <phoneticPr fontId="3"/>
  </si>
  <si>
    <t>外国株券等</t>
    <phoneticPr fontId="3"/>
  </si>
  <si>
    <t>一般債振替制度</t>
    <phoneticPr fontId="3"/>
  </si>
  <si>
    <t xml:space="preserve">地方債（公募）                        </t>
    <phoneticPr fontId="3"/>
  </si>
  <si>
    <t xml:space="preserve">地方債（非公募）                        </t>
    <phoneticPr fontId="3"/>
  </si>
  <si>
    <t xml:space="preserve">政府保証債（公募）                      </t>
    <phoneticPr fontId="3"/>
  </si>
  <si>
    <t xml:space="preserve">財投機関債等(公募)                           </t>
    <phoneticPr fontId="3"/>
  </si>
  <si>
    <t xml:space="preserve">非公募特別債                            </t>
    <phoneticPr fontId="3"/>
  </si>
  <si>
    <t xml:space="preserve">地方公社債（公募）                      </t>
    <phoneticPr fontId="3"/>
  </si>
  <si>
    <t xml:space="preserve">地方公社債（非公募）                    </t>
    <phoneticPr fontId="3"/>
  </si>
  <si>
    <t xml:space="preserve">金融債（割引）                          </t>
    <phoneticPr fontId="3"/>
  </si>
  <si>
    <t xml:space="preserve">金融債（利付）                          </t>
    <phoneticPr fontId="3"/>
  </si>
  <si>
    <t xml:space="preserve">社債（公募）                            </t>
    <phoneticPr fontId="3"/>
  </si>
  <si>
    <t xml:space="preserve">社債（公募）うち一般担保付                         </t>
    <phoneticPr fontId="3"/>
  </si>
  <si>
    <t xml:space="preserve">社債（非公募）                          </t>
    <phoneticPr fontId="3"/>
  </si>
  <si>
    <t xml:space="preserve">社債（非公募）うち一般担保付                      </t>
    <phoneticPr fontId="3"/>
  </si>
  <si>
    <t xml:space="preserve">資産担保型社債（公募）                  </t>
    <phoneticPr fontId="3"/>
  </si>
  <si>
    <t xml:space="preserve">資産担保型社債（非公募）                </t>
    <phoneticPr fontId="3"/>
  </si>
  <si>
    <t xml:space="preserve">円建外債（公募）                        </t>
    <phoneticPr fontId="3"/>
  </si>
  <si>
    <t xml:space="preserve">円建外債（非公募）                      </t>
    <phoneticPr fontId="3"/>
  </si>
  <si>
    <t xml:space="preserve">資産担保型社債（非居住者分）（公募）    </t>
    <phoneticPr fontId="3"/>
  </si>
  <si>
    <t xml:space="preserve">資産担保型社債（非居住者分）（非公募）  </t>
    <phoneticPr fontId="3"/>
  </si>
  <si>
    <t xml:space="preserve">その他（公募）                          </t>
    <phoneticPr fontId="3"/>
  </si>
  <si>
    <t xml:space="preserve">その他（非公募）                        </t>
    <phoneticPr fontId="3"/>
  </si>
  <si>
    <t>短期社債振替制度</t>
    <phoneticPr fontId="3"/>
  </si>
  <si>
    <t>CP</t>
    <phoneticPr fontId="3"/>
  </si>
  <si>
    <t>投資信託振替制度</t>
    <phoneticPr fontId="3"/>
  </si>
  <si>
    <t>投資信託（公募）</t>
    <phoneticPr fontId="3"/>
  </si>
  <si>
    <t>投資信託（私募）（注）</t>
    <phoneticPr fontId="3"/>
  </si>
  <si>
    <t>N/A</t>
    <phoneticPr fontId="11"/>
  </si>
  <si>
    <t>N/A</t>
    <phoneticPr fontId="3"/>
  </si>
  <si>
    <t>注　参考：2016年8月末時点の契約型私募投信の銘柄数及び純資産残高（投資信託協会公表）4,541銘柄、69,390,955百万円</t>
    <phoneticPr fontId="3"/>
  </si>
  <si>
    <t>全制度口座残高一覧（2016年9月末時点）</t>
    <phoneticPr fontId="3"/>
  </si>
  <si>
    <t>【口座残高（時価総額）】</t>
    <phoneticPr fontId="3"/>
  </si>
  <si>
    <t>制　　度</t>
    <phoneticPr fontId="3"/>
  </si>
  <si>
    <t>証券種類</t>
    <phoneticPr fontId="3"/>
  </si>
  <si>
    <t>銘　柄　数</t>
    <phoneticPr fontId="3"/>
  </si>
  <si>
    <t>合　　計</t>
    <phoneticPr fontId="3"/>
  </si>
  <si>
    <t>証券</t>
    <phoneticPr fontId="3"/>
  </si>
  <si>
    <t>銀行</t>
    <phoneticPr fontId="3"/>
  </si>
  <si>
    <t>信託銀行</t>
    <phoneticPr fontId="3"/>
  </si>
  <si>
    <t>そ　の　他</t>
    <phoneticPr fontId="3"/>
  </si>
  <si>
    <t>（百万円）</t>
    <phoneticPr fontId="3"/>
  </si>
  <si>
    <t>株式等振替制度</t>
    <phoneticPr fontId="3"/>
  </si>
  <si>
    <t>株式</t>
    <phoneticPr fontId="3"/>
  </si>
  <si>
    <t>新株予約権付社債</t>
    <phoneticPr fontId="3"/>
  </si>
  <si>
    <t>新株予約権</t>
    <phoneticPr fontId="3"/>
  </si>
  <si>
    <t>優先出資</t>
    <phoneticPr fontId="3"/>
  </si>
  <si>
    <t>投資口</t>
    <phoneticPr fontId="3"/>
  </si>
  <si>
    <t>投資信託受益権（ETF）</t>
    <phoneticPr fontId="3"/>
  </si>
  <si>
    <t>受益証券発行信託の受益権</t>
    <phoneticPr fontId="3"/>
  </si>
  <si>
    <t>外国株券等保管振替決済制度</t>
    <phoneticPr fontId="3"/>
  </si>
  <si>
    <t>外国株券等</t>
    <phoneticPr fontId="3"/>
  </si>
  <si>
    <t>一般債振替制度</t>
    <phoneticPr fontId="3"/>
  </si>
  <si>
    <t xml:space="preserve">地方債（公募）                        </t>
    <phoneticPr fontId="3"/>
  </si>
  <si>
    <t xml:space="preserve">地方債（非公募）                        </t>
    <phoneticPr fontId="3"/>
  </si>
  <si>
    <t xml:space="preserve">政府保証債（公募）                      </t>
    <phoneticPr fontId="3"/>
  </si>
  <si>
    <t xml:space="preserve">財投機関債等(公募)                           </t>
    <phoneticPr fontId="3"/>
  </si>
  <si>
    <t xml:space="preserve">非公募特別債                            </t>
    <phoneticPr fontId="3"/>
  </si>
  <si>
    <t xml:space="preserve">地方公社債（公募）                      </t>
    <phoneticPr fontId="3"/>
  </si>
  <si>
    <t xml:space="preserve">地方公社債（非公募）                    </t>
    <phoneticPr fontId="3"/>
  </si>
  <si>
    <t xml:space="preserve">金融債（割引）                          </t>
    <phoneticPr fontId="3"/>
  </si>
  <si>
    <t xml:space="preserve">金融債（利付）                          </t>
    <phoneticPr fontId="3"/>
  </si>
  <si>
    <t xml:space="preserve">社債（公募）                            </t>
    <phoneticPr fontId="3"/>
  </si>
  <si>
    <t xml:space="preserve">社債（公募）うち一般担保付                         </t>
    <phoneticPr fontId="3"/>
  </si>
  <si>
    <t xml:space="preserve">社債（非公募）                          </t>
    <phoneticPr fontId="3"/>
  </si>
  <si>
    <t xml:space="preserve">社債（非公募）うち一般担保付                      </t>
    <phoneticPr fontId="3"/>
  </si>
  <si>
    <t xml:space="preserve">資産担保型社債（公募）                  </t>
    <phoneticPr fontId="3"/>
  </si>
  <si>
    <t xml:space="preserve">資産担保型社債（非公募）                </t>
    <phoneticPr fontId="3"/>
  </si>
  <si>
    <t xml:space="preserve">円建外債（公募）                        </t>
    <phoneticPr fontId="3"/>
  </si>
  <si>
    <t xml:space="preserve">円建外債（非公募）                      </t>
    <phoneticPr fontId="3"/>
  </si>
  <si>
    <t xml:space="preserve">資産担保型社債（非居住者分）（公募）    </t>
    <phoneticPr fontId="3"/>
  </si>
  <si>
    <t xml:space="preserve">資産担保型社債（非居住者分）（非公募）  </t>
    <phoneticPr fontId="3"/>
  </si>
  <si>
    <t xml:space="preserve">その他（公募）                          </t>
    <phoneticPr fontId="3"/>
  </si>
  <si>
    <t xml:space="preserve">その他（非公募）                        </t>
    <phoneticPr fontId="3"/>
  </si>
  <si>
    <t>短期社債振替制度</t>
    <phoneticPr fontId="3"/>
  </si>
  <si>
    <t>CP</t>
    <phoneticPr fontId="3"/>
  </si>
  <si>
    <t>投資信託振替制度</t>
    <phoneticPr fontId="3"/>
  </si>
  <si>
    <t>投資信託（公募）</t>
    <phoneticPr fontId="3"/>
  </si>
  <si>
    <t>投資信託（私募）（注）</t>
    <phoneticPr fontId="3"/>
  </si>
  <si>
    <t>N/A</t>
    <phoneticPr fontId="3"/>
  </si>
  <si>
    <t>注　参考：2016年9月末時点の契約型私募投信の銘柄数及び純資産残高（投資信託協会公表）4,644銘柄、69,735,225百万円</t>
    <phoneticPr fontId="3"/>
  </si>
  <si>
    <t>全制度口座残高一覧（2016年10月末時点）</t>
    <phoneticPr fontId="3"/>
  </si>
  <si>
    <t>【口座残高（時価総額）】</t>
    <phoneticPr fontId="3"/>
  </si>
  <si>
    <t>制　　度</t>
    <phoneticPr fontId="3"/>
  </si>
  <si>
    <t>証券種類</t>
    <phoneticPr fontId="3"/>
  </si>
  <si>
    <t>銘　柄　数</t>
    <phoneticPr fontId="3"/>
  </si>
  <si>
    <t>合　　計</t>
    <phoneticPr fontId="3"/>
  </si>
  <si>
    <t>証券</t>
    <phoneticPr fontId="3"/>
  </si>
  <si>
    <t>銀行</t>
    <phoneticPr fontId="3"/>
  </si>
  <si>
    <t>信託銀行</t>
    <phoneticPr fontId="3"/>
  </si>
  <si>
    <t>そ　の　他</t>
    <phoneticPr fontId="3"/>
  </si>
  <si>
    <t>（百万円）</t>
    <phoneticPr fontId="3"/>
  </si>
  <si>
    <t>株式等振替制度</t>
    <phoneticPr fontId="3"/>
  </si>
  <si>
    <t>株式</t>
    <phoneticPr fontId="3"/>
  </si>
  <si>
    <t>新株予約権付社債</t>
    <phoneticPr fontId="3"/>
  </si>
  <si>
    <t>新株予約権</t>
    <phoneticPr fontId="3"/>
  </si>
  <si>
    <t>優先出資</t>
    <phoneticPr fontId="3"/>
  </si>
  <si>
    <t>投資口</t>
    <phoneticPr fontId="3"/>
  </si>
  <si>
    <t>投資信託受益権（ETF）</t>
    <phoneticPr fontId="3"/>
  </si>
  <si>
    <t>受益証券発行信託の受益権</t>
    <phoneticPr fontId="3"/>
  </si>
  <si>
    <t>外国株券等保管振替決済制度</t>
    <phoneticPr fontId="3"/>
  </si>
  <si>
    <t>外国株券等</t>
    <phoneticPr fontId="3"/>
  </si>
  <si>
    <t>一般債振替制度</t>
    <phoneticPr fontId="3"/>
  </si>
  <si>
    <t xml:space="preserve">地方債（公募）                        </t>
    <phoneticPr fontId="3"/>
  </si>
  <si>
    <t xml:space="preserve">地方債（非公募）                        </t>
    <phoneticPr fontId="3"/>
  </si>
  <si>
    <t xml:space="preserve">政府保証債（公募）                      </t>
    <phoneticPr fontId="3"/>
  </si>
  <si>
    <t xml:space="preserve">財投機関債等(公募)                           </t>
    <phoneticPr fontId="3"/>
  </si>
  <si>
    <t xml:space="preserve">非公募特別債                            </t>
    <phoneticPr fontId="3"/>
  </si>
  <si>
    <t xml:space="preserve">地方公社債（公募）                      </t>
    <phoneticPr fontId="3"/>
  </si>
  <si>
    <t xml:space="preserve">地方公社債（非公募）                    </t>
    <phoneticPr fontId="3"/>
  </si>
  <si>
    <t xml:space="preserve">金融債（割引）                          </t>
    <phoneticPr fontId="3"/>
  </si>
  <si>
    <t xml:space="preserve">金融債（利付）                          </t>
    <phoneticPr fontId="3"/>
  </si>
  <si>
    <t xml:space="preserve">社債（公募）                            </t>
    <phoneticPr fontId="3"/>
  </si>
  <si>
    <t xml:space="preserve">社債（公募）うち一般担保付                         </t>
    <phoneticPr fontId="3"/>
  </si>
  <si>
    <t xml:space="preserve">社債（非公募）                          </t>
    <phoneticPr fontId="3"/>
  </si>
  <si>
    <t xml:space="preserve">社債（非公募）うち一般担保付                      </t>
    <phoneticPr fontId="3"/>
  </si>
  <si>
    <t xml:space="preserve">資産担保型社債（公募）                  </t>
    <phoneticPr fontId="3"/>
  </si>
  <si>
    <t xml:space="preserve">資産担保型社債（非公募）                </t>
    <phoneticPr fontId="3"/>
  </si>
  <si>
    <t xml:space="preserve">円建外債（公募）                        </t>
    <phoneticPr fontId="3"/>
  </si>
  <si>
    <t xml:space="preserve">円建外債（非公募）                      </t>
    <phoneticPr fontId="3"/>
  </si>
  <si>
    <t xml:space="preserve">資産担保型社債（非居住者分）（公募）    </t>
    <phoneticPr fontId="3"/>
  </si>
  <si>
    <t xml:space="preserve">資産担保型社債（非居住者分）（非公募）  </t>
    <phoneticPr fontId="3"/>
  </si>
  <si>
    <t xml:space="preserve">その他（公募）                          </t>
    <phoneticPr fontId="3"/>
  </si>
  <si>
    <t xml:space="preserve">その他（非公募）                        </t>
    <phoneticPr fontId="3"/>
  </si>
  <si>
    <t>短期社債振替制度</t>
    <phoneticPr fontId="3"/>
  </si>
  <si>
    <t>CP</t>
    <phoneticPr fontId="3"/>
  </si>
  <si>
    <t>投資信託振替制度</t>
    <phoneticPr fontId="3"/>
  </si>
  <si>
    <t>投資信託（公募）</t>
    <phoneticPr fontId="3"/>
  </si>
  <si>
    <t>投資信託（私募）（注）</t>
    <phoneticPr fontId="3"/>
  </si>
  <si>
    <t>N/A</t>
    <phoneticPr fontId="3"/>
  </si>
  <si>
    <t>N/A-</t>
    <phoneticPr fontId="3"/>
  </si>
  <si>
    <t>注　参考：2016年10月末時点の契約型私募投信の銘柄数及び純資産残高（投資信託協会公表）4,720銘柄、71,724,323百万円</t>
    <phoneticPr fontId="3"/>
  </si>
  <si>
    <t>全制度口座残高一覧（2016年11月末時点）</t>
    <phoneticPr fontId="3"/>
  </si>
  <si>
    <t>【口座残高（時価総額）】</t>
    <phoneticPr fontId="3"/>
  </si>
  <si>
    <t>制　　度</t>
    <phoneticPr fontId="3"/>
  </si>
  <si>
    <t>証券種類</t>
    <phoneticPr fontId="3"/>
  </si>
  <si>
    <t>銘　柄　数</t>
    <phoneticPr fontId="3"/>
  </si>
  <si>
    <t>合　　計</t>
    <phoneticPr fontId="3"/>
  </si>
  <si>
    <t>証券</t>
    <phoneticPr fontId="3"/>
  </si>
  <si>
    <t>銀行</t>
    <phoneticPr fontId="3"/>
  </si>
  <si>
    <t>信託銀行</t>
    <phoneticPr fontId="3"/>
  </si>
  <si>
    <t>そ　の　他</t>
    <phoneticPr fontId="3"/>
  </si>
  <si>
    <t>（百万円）</t>
    <phoneticPr fontId="3"/>
  </si>
  <si>
    <t>株式等振替制度</t>
    <phoneticPr fontId="3"/>
  </si>
  <si>
    <t>株式</t>
    <phoneticPr fontId="3"/>
  </si>
  <si>
    <t>新株予約権付社債</t>
    <phoneticPr fontId="3"/>
  </si>
  <si>
    <t>新株予約権</t>
    <phoneticPr fontId="3"/>
  </si>
  <si>
    <t>優先出資</t>
    <phoneticPr fontId="3"/>
  </si>
  <si>
    <t>投資口</t>
    <phoneticPr fontId="3"/>
  </si>
  <si>
    <t>投資信託受益権（ETF）</t>
    <phoneticPr fontId="3"/>
  </si>
  <si>
    <t>受益証券発行信託の受益権</t>
    <phoneticPr fontId="3"/>
  </si>
  <si>
    <t>外国株券等保管振替決済制度</t>
    <phoneticPr fontId="3"/>
  </si>
  <si>
    <t>外国株券等</t>
    <phoneticPr fontId="3"/>
  </si>
  <si>
    <t>一般債振替制度</t>
    <phoneticPr fontId="3"/>
  </si>
  <si>
    <t xml:space="preserve">地方債（公募）                        </t>
    <phoneticPr fontId="3"/>
  </si>
  <si>
    <t xml:space="preserve">地方債（非公募）                        </t>
    <phoneticPr fontId="3"/>
  </si>
  <si>
    <t xml:space="preserve">政府保証債（公募）                      </t>
    <phoneticPr fontId="3"/>
  </si>
  <si>
    <t xml:space="preserve">財投機関債等(公募)                           </t>
    <phoneticPr fontId="3"/>
  </si>
  <si>
    <t xml:space="preserve">非公募特別債                            </t>
    <phoneticPr fontId="3"/>
  </si>
  <si>
    <t xml:space="preserve">地方公社債（公募）                      </t>
    <phoneticPr fontId="3"/>
  </si>
  <si>
    <t xml:space="preserve">地方公社債（非公募）                    </t>
    <phoneticPr fontId="3"/>
  </si>
  <si>
    <t xml:space="preserve">金融債（割引）                          </t>
    <phoneticPr fontId="3"/>
  </si>
  <si>
    <t xml:space="preserve">金融債（利付）                          </t>
    <phoneticPr fontId="3"/>
  </si>
  <si>
    <t xml:space="preserve">社債（公募）                            </t>
    <phoneticPr fontId="3"/>
  </si>
  <si>
    <t xml:space="preserve">社債（公募）うち一般担保付                         </t>
    <phoneticPr fontId="3"/>
  </si>
  <si>
    <t xml:space="preserve">社債（非公募）                          </t>
    <phoneticPr fontId="3"/>
  </si>
  <si>
    <t xml:space="preserve">社債（非公募）うち一般担保付                      </t>
    <phoneticPr fontId="3"/>
  </si>
  <si>
    <t xml:space="preserve">資産担保型社債（公募）                  </t>
    <phoneticPr fontId="3"/>
  </si>
  <si>
    <t xml:space="preserve">資産担保型社債（非公募）                </t>
    <phoneticPr fontId="3"/>
  </si>
  <si>
    <t xml:space="preserve">円建外債（公募）                        </t>
    <phoneticPr fontId="3"/>
  </si>
  <si>
    <t xml:space="preserve">円建外債（非公募）                      </t>
    <phoneticPr fontId="3"/>
  </si>
  <si>
    <t xml:space="preserve">資産担保型社債（非居住者分）（公募）    </t>
    <phoneticPr fontId="3"/>
  </si>
  <si>
    <t xml:space="preserve">資産担保型社債（非居住者分）（非公募）  </t>
    <phoneticPr fontId="3"/>
  </si>
  <si>
    <t xml:space="preserve">その他（公募）                          </t>
    <phoneticPr fontId="3"/>
  </si>
  <si>
    <t xml:space="preserve">その他（非公募）                        </t>
    <phoneticPr fontId="3"/>
  </si>
  <si>
    <t>短期社債振替制度</t>
    <phoneticPr fontId="3"/>
  </si>
  <si>
    <t>CP</t>
    <phoneticPr fontId="3"/>
  </si>
  <si>
    <t>投資信託振替制度</t>
    <phoneticPr fontId="3"/>
  </si>
  <si>
    <t>投資信託（公募）</t>
    <phoneticPr fontId="3"/>
  </si>
  <si>
    <t>投資信託（私募）（注）</t>
    <phoneticPr fontId="3"/>
  </si>
  <si>
    <t>N/A</t>
    <phoneticPr fontId="3"/>
  </si>
  <si>
    <t>注 参考：2016年11月末時点の契約型私募投信の銘柄数及び純資産残高（投資信託協会公表）4,786銘柄、73,252,971百万円</t>
    <rPh sb="0" eb="1">
      <t>チュウ</t>
    </rPh>
    <phoneticPr fontId="3"/>
  </si>
  <si>
    <t>全制度口座残高一覧（2016年12月末時点）</t>
    <phoneticPr fontId="3"/>
  </si>
  <si>
    <t>【口座残高（時価総額）】</t>
    <phoneticPr fontId="3"/>
  </si>
  <si>
    <t>制　　度</t>
    <phoneticPr fontId="3"/>
  </si>
  <si>
    <t>証券種類</t>
    <phoneticPr fontId="3"/>
  </si>
  <si>
    <t>銘　柄　数</t>
    <phoneticPr fontId="3"/>
  </si>
  <si>
    <t>合　　計</t>
    <phoneticPr fontId="3"/>
  </si>
  <si>
    <t>証券</t>
    <phoneticPr fontId="3"/>
  </si>
  <si>
    <t>銀行</t>
    <phoneticPr fontId="3"/>
  </si>
  <si>
    <t>信託銀行</t>
    <phoneticPr fontId="3"/>
  </si>
  <si>
    <t>そ　の　他</t>
    <phoneticPr fontId="3"/>
  </si>
  <si>
    <t>（百万円）</t>
    <phoneticPr fontId="3"/>
  </si>
  <si>
    <t>株式等振替制度</t>
    <phoneticPr fontId="3"/>
  </si>
  <si>
    <t>株式</t>
    <phoneticPr fontId="3"/>
  </si>
  <si>
    <t>新株予約権付社債</t>
    <phoneticPr fontId="3"/>
  </si>
  <si>
    <t>新株予約権</t>
    <phoneticPr fontId="3"/>
  </si>
  <si>
    <t>優先出資</t>
    <phoneticPr fontId="3"/>
  </si>
  <si>
    <t>投資口</t>
    <phoneticPr fontId="3"/>
  </si>
  <si>
    <t>投資信託受益権（ETF）</t>
    <phoneticPr fontId="3"/>
  </si>
  <si>
    <t>受益証券発行信託の受益権</t>
    <phoneticPr fontId="3"/>
  </si>
  <si>
    <t>外国株券等保管振替決済制度</t>
    <phoneticPr fontId="3"/>
  </si>
  <si>
    <t>外国株券等</t>
    <phoneticPr fontId="3"/>
  </si>
  <si>
    <t>一般債振替制度</t>
    <phoneticPr fontId="3"/>
  </si>
  <si>
    <t xml:space="preserve">地方債（公募）                        </t>
    <phoneticPr fontId="3"/>
  </si>
  <si>
    <t xml:space="preserve">地方債（非公募）                        </t>
    <phoneticPr fontId="3"/>
  </si>
  <si>
    <t xml:space="preserve">政府保証債（公募）                      </t>
    <phoneticPr fontId="3"/>
  </si>
  <si>
    <t xml:space="preserve">財投機関債等(公募)                           </t>
    <phoneticPr fontId="3"/>
  </si>
  <si>
    <t xml:space="preserve">非公募特別債                            </t>
    <phoneticPr fontId="3"/>
  </si>
  <si>
    <t xml:space="preserve">地方公社債（公募）                      </t>
    <phoneticPr fontId="3"/>
  </si>
  <si>
    <t xml:space="preserve">地方公社債（非公募）                    </t>
    <phoneticPr fontId="3"/>
  </si>
  <si>
    <t xml:space="preserve">金融債（割引）                          </t>
    <phoneticPr fontId="3"/>
  </si>
  <si>
    <t xml:space="preserve">金融債（利付）                          </t>
    <phoneticPr fontId="3"/>
  </si>
  <si>
    <t xml:space="preserve">社債（公募）                            </t>
    <phoneticPr fontId="3"/>
  </si>
  <si>
    <t xml:space="preserve">社債（公募）うち一般担保付                         </t>
    <phoneticPr fontId="3"/>
  </si>
  <si>
    <t xml:space="preserve">社債（非公募）                          </t>
    <phoneticPr fontId="3"/>
  </si>
  <si>
    <t xml:space="preserve">社債（非公募）うち一般担保付                      </t>
    <phoneticPr fontId="3"/>
  </si>
  <si>
    <t xml:space="preserve">資産担保型社債（公募）                  </t>
    <phoneticPr fontId="3"/>
  </si>
  <si>
    <t xml:space="preserve">資産担保型社債（非公募）                </t>
    <phoneticPr fontId="3"/>
  </si>
  <si>
    <t xml:space="preserve">円建外債（公募）                        </t>
    <phoneticPr fontId="3"/>
  </si>
  <si>
    <t xml:space="preserve">円建外債（非公募）                      </t>
    <phoneticPr fontId="3"/>
  </si>
  <si>
    <t xml:space="preserve">資産担保型社債（非居住者分）（公募）    </t>
    <phoneticPr fontId="3"/>
  </si>
  <si>
    <t xml:space="preserve">資産担保型社債（非居住者分）（非公募）  </t>
    <phoneticPr fontId="3"/>
  </si>
  <si>
    <t xml:space="preserve">その他（公募）                          </t>
    <phoneticPr fontId="3"/>
  </si>
  <si>
    <t xml:space="preserve">その他（非公募）                        </t>
    <phoneticPr fontId="3"/>
  </si>
  <si>
    <t>短期社債振替制度</t>
    <phoneticPr fontId="3"/>
  </si>
  <si>
    <t>CP</t>
    <phoneticPr fontId="3"/>
  </si>
  <si>
    <t>投資信託振替制度</t>
    <phoneticPr fontId="3"/>
  </si>
  <si>
    <t>投資信託（公募）</t>
    <phoneticPr fontId="3"/>
  </si>
  <si>
    <t>投資信託（私募）（注）</t>
    <phoneticPr fontId="3"/>
  </si>
  <si>
    <t>N/A</t>
    <phoneticPr fontId="3"/>
  </si>
  <si>
    <t>注　参考：2016年12月末時点の契約型私募投信の銘柄数及び純資産残高（投資信託協会公表）4,829銘柄、74,084,268百万円</t>
    <phoneticPr fontId="3"/>
  </si>
  <si>
    <t>全制度口座残高一覧（2017年1月末時点）</t>
    <phoneticPr fontId="3"/>
  </si>
  <si>
    <t>【口座残高（時価総額）】</t>
    <phoneticPr fontId="3"/>
  </si>
  <si>
    <t>制　　度</t>
    <phoneticPr fontId="3"/>
  </si>
  <si>
    <t>証券種類</t>
    <phoneticPr fontId="3"/>
  </si>
  <si>
    <t>銘　柄　数</t>
    <phoneticPr fontId="3"/>
  </si>
  <si>
    <t>合　　計</t>
    <phoneticPr fontId="3"/>
  </si>
  <si>
    <t>証券</t>
    <phoneticPr fontId="3"/>
  </si>
  <si>
    <t>銀行</t>
    <phoneticPr fontId="3"/>
  </si>
  <si>
    <t>信託銀行</t>
    <phoneticPr fontId="3"/>
  </si>
  <si>
    <t>そ　の　他</t>
    <phoneticPr fontId="3"/>
  </si>
  <si>
    <t>（百万円）</t>
    <phoneticPr fontId="3"/>
  </si>
  <si>
    <t>株式等振替制度</t>
    <phoneticPr fontId="3"/>
  </si>
  <si>
    <t>株式</t>
    <phoneticPr fontId="3"/>
  </si>
  <si>
    <t>新株予約権付社債</t>
    <phoneticPr fontId="3"/>
  </si>
  <si>
    <t>新株予約権</t>
    <phoneticPr fontId="3"/>
  </si>
  <si>
    <t>優先出資</t>
    <phoneticPr fontId="3"/>
  </si>
  <si>
    <t>投資口</t>
    <phoneticPr fontId="3"/>
  </si>
  <si>
    <t>投資信託受益権（ETF）</t>
    <phoneticPr fontId="3"/>
  </si>
  <si>
    <t>受益証券発行信託の受益権</t>
    <phoneticPr fontId="3"/>
  </si>
  <si>
    <t>外国株券等保管振替決済制度</t>
    <phoneticPr fontId="3"/>
  </si>
  <si>
    <t>外国株券等</t>
    <phoneticPr fontId="3"/>
  </si>
  <si>
    <t>一般債振替制度</t>
    <phoneticPr fontId="3"/>
  </si>
  <si>
    <t xml:space="preserve">地方債（公募）                        </t>
    <phoneticPr fontId="3"/>
  </si>
  <si>
    <t xml:space="preserve">地方債（非公募）                        </t>
    <phoneticPr fontId="3"/>
  </si>
  <si>
    <t xml:space="preserve">政府保証債（公募）                      </t>
    <phoneticPr fontId="3"/>
  </si>
  <si>
    <t xml:space="preserve">財投機関債等(公募)                           </t>
    <phoneticPr fontId="3"/>
  </si>
  <si>
    <t xml:space="preserve">非公募特別債                            </t>
    <phoneticPr fontId="3"/>
  </si>
  <si>
    <t xml:space="preserve">地方公社債（公募）                      </t>
    <phoneticPr fontId="3"/>
  </si>
  <si>
    <t xml:space="preserve">地方公社債（非公募）                    </t>
    <phoneticPr fontId="3"/>
  </si>
  <si>
    <t xml:space="preserve">金融債（割引）                          </t>
    <phoneticPr fontId="3"/>
  </si>
  <si>
    <t xml:space="preserve">金融債（利付）                          </t>
    <phoneticPr fontId="3"/>
  </si>
  <si>
    <t xml:space="preserve">社債（公募）                            </t>
    <phoneticPr fontId="3"/>
  </si>
  <si>
    <t xml:space="preserve">社債（公募）うち一般担保付                         </t>
    <phoneticPr fontId="3"/>
  </si>
  <si>
    <t xml:space="preserve">社債（非公募）                          </t>
    <phoneticPr fontId="3"/>
  </si>
  <si>
    <t xml:space="preserve">社債（非公募）うち一般担保付                      </t>
    <phoneticPr fontId="3"/>
  </si>
  <si>
    <t xml:space="preserve">資産担保型社債（公募）                  </t>
    <phoneticPr fontId="3"/>
  </si>
  <si>
    <t xml:space="preserve">資産担保型社債（非公募）                </t>
    <phoneticPr fontId="3"/>
  </si>
  <si>
    <t xml:space="preserve">円建外債（公募）                        </t>
    <phoneticPr fontId="3"/>
  </si>
  <si>
    <t xml:space="preserve">円建外債（非公募）                      </t>
    <phoneticPr fontId="3"/>
  </si>
  <si>
    <t xml:space="preserve">資産担保型社債（非居住者分）（公募）    </t>
    <phoneticPr fontId="3"/>
  </si>
  <si>
    <t xml:space="preserve">資産担保型社債（非居住者分）（非公募）  </t>
    <phoneticPr fontId="3"/>
  </si>
  <si>
    <t xml:space="preserve">その他（公募）                          </t>
    <phoneticPr fontId="3"/>
  </si>
  <si>
    <t xml:space="preserve">その他（非公募）                        </t>
    <phoneticPr fontId="3"/>
  </si>
  <si>
    <t>短期社債振替制度</t>
    <phoneticPr fontId="3"/>
  </si>
  <si>
    <t>CP</t>
    <phoneticPr fontId="3"/>
  </si>
  <si>
    <t>投資信託振替制度</t>
    <phoneticPr fontId="3"/>
  </si>
  <si>
    <t>投資信託（公募）</t>
    <phoneticPr fontId="3"/>
  </si>
  <si>
    <t>投資信託（私募）（注）</t>
    <phoneticPr fontId="3"/>
  </si>
  <si>
    <t>N/A</t>
    <phoneticPr fontId="3"/>
  </si>
  <si>
    <t>注　参考：2017年1月末時点の契約型私募投信の銘柄数及び純資産残高（投資信託協会公表）4,876銘柄、74,795,904百万円</t>
    <phoneticPr fontId="3"/>
  </si>
  <si>
    <t>全制度口座残高一覧（2017年2月末時点）</t>
    <phoneticPr fontId="3"/>
  </si>
  <si>
    <t>【口座残高（時価総額）】</t>
    <phoneticPr fontId="3"/>
  </si>
  <si>
    <t>制　　度</t>
    <phoneticPr fontId="3"/>
  </si>
  <si>
    <t>証券種類</t>
    <phoneticPr fontId="3"/>
  </si>
  <si>
    <t>銘　柄　数</t>
    <phoneticPr fontId="3"/>
  </si>
  <si>
    <t>合　　計</t>
    <phoneticPr fontId="3"/>
  </si>
  <si>
    <t>証券</t>
    <phoneticPr fontId="3"/>
  </si>
  <si>
    <t>銀行</t>
    <phoneticPr fontId="3"/>
  </si>
  <si>
    <t>信託銀行</t>
    <phoneticPr fontId="3"/>
  </si>
  <si>
    <t>そ　の　他</t>
    <phoneticPr fontId="3"/>
  </si>
  <si>
    <t>（百万円）</t>
    <phoneticPr fontId="3"/>
  </si>
  <si>
    <t>株式等振替制度</t>
    <phoneticPr fontId="3"/>
  </si>
  <si>
    <t>株式</t>
    <phoneticPr fontId="3"/>
  </si>
  <si>
    <t>新株予約権付社債</t>
    <phoneticPr fontId="3"/>
  </si>
  <si>
    <t>新株予約権</t>
    <phoneticPr fontId="3"/>
  </si>
  <si>
    <t>優先出資</t>
    <phoneticPr fontId="3"/>
  </si>
  <si>
    <t>投資口</t>
    <phoneticPr fontId="3"/>
  </si>
  <si>
    <t>投資信託受益権（ETF）</t>
    <phoneticPr fontId="3"/>
  </si>
  <si>
    <t>受益証券発行信託の受益権</t>
    <phoneticPr fontId="3"/>
  </si>
  <si>
    <t>外国株券等保管振替決済制度</t>
    <phoneticPr fontId="3"/>
  </si>
  <si>
    <t>外国株券等</t>
    <phoneticPr fontId="3"/>
  </si>
  <si>
    <t>一般債振替制度</t>
    <phoneticPr fontId="3"/>
  </si>
  <si>
    <t xml:space="preserve">地方債（公募）                        </t>
    <phoneticPr fontId="3"/>
  </si>
  <si>
    <t xml:space="preserve">地方債（非公募）                        </t>
    <phoneticPr fontId="3"/>
  </si>
  <si>
    <t xml:space="preserve">政府保証債（公募）                      </t>
    <phoneticPr fontId="3"/>
  </si>
  <si>
    <t xml:space="preserve">財投機関債等(公募)                           </t>
    <phoneticPr fontId="3"/>
  </si>
  <si>
    <t xml:space="preserve">非公募特別債                            </t>
    <phoneticPr fontId="3"/>
  </si>
  <si>
    <t xml:space="preserve">地方公社債（公募）                      </t>
    <phoneticPr fontId="3"/>
  </si>
  <si>
    <t xml:space="preserve">地方公社債（非公募）                    </t>
    <phoneticPr fontId="3"/>
  </si>
  <si>
    <t xml:space="preserve">金融債（割引）                          </t>
    <phoneticPr fontId="3"/>
  </si>
  <si>
    <t xml:space="preserve">金融債（利付）                          </t>
    <phoneticPr fontId="3"/>
  </si>
  <si>
    <t xml:space="preserve">社債（公募）                            </t>
    <phoneticPr fontId="3"/>
  </si>
  <si>
    <t xml:space="preserve">社債（公募）うち一般担保付                         </t>
    <phoneticPr fontId="3"/>
  </si>
  <si>
    <t xml:space="preserve">社債（非公募）                          </t>
    <phoneticPr fontId="3"/>
  </si>
  <si>
    <t xml:space="preserve">社債（非公募）うち一般担保付                      </t>
    <phoneticPr fontId="3"/>
  </si>
  <si>
    <t xml:space="preserve">資産担保型社債（公募）                  </t>
    <phoneticPr fontId="3"/>
  </si>
  <si>
    <t xml:space="preserve">資産担保型社債（非公募）                </t>
    <phoneticPr fontId="3"/>
  </si>
  <si>
    <t xml:space="preserve">円建外債（公募）                        </t>
    <phoneticPr fontId="3"/>
  </si>
  <si>
    <t xml:space="preserve">円建外債（非公募）                      </t>
    <phoneticPr fontId="3"/>
  </si>
  <si>
    <t xml:space="preserve">資産担保型社債（非居住者分）（公募）    </t>
    <phoneticPr fontId="3"/>
  </si>
  <si>
    <t xml:space="preserve">資産担保型社債（非居住者分）（非公募）  </t>
    <phoneticPr fontId="3"/>
  </si>
  <si>
    <t xml:space="preserve">その他（公募）                          </t>
    <phoneticPr fontId="3"/>
  </si>
  <si>
    <t xml:space="preserve">その他（非公募）                        </t>
    <phoneticPr fontId="3"/>
  </si>
  <si>
    <t>短期社債振替制度</t>
    <phoneticPr fontId="3"/>
  </si>
  <si>
    <t>CP</t>
    <phoneticPr fontId="3"/>
  </si>
  <si>
    <t>投資信託振替制度</t>
    <phoneticPr fontId="3"/>
  </si>
  <si>
    <t>投資信託（公募）</t>
    <phoneticPr fontId="3"/>
  </si>
  <si>
    <t>投資信託（私募）（注）</t>
    <phoneticPr fontId="3"/>
  </si>
  <si>
    <t>N/A</t>
    <phoneticPr fontId="3"/>
  </si>
  <si>
    <t>注　参考：2017年2月末時点の契約型私募投信の銘柄数及び純資産残高（投資信託協会公表）4,920銘柄、76,144,460百万円</t>
    <phoneticPr fontId="3"/>
  </si>
  <si>
    <t>全制度口座残高一覧（2017年3月末時点）</t>
    <phoneticPr fontId="3"/>
  </si>
  <si>
    <t>【口座残高（時価総額）】</t>
    <phoneticPr fontId="3"/>
  </si>
  <si>
    <t>制　　度</t>
    <phoneticPr fontId="3"/>
  </si>
  <si>
    <t>証券種類</t>
    <phoneticPr fontId="3"/>
  </si>
  <si>
    <t>銘　柄　数</t>
    <phoneticPr fontId="3"/>
  </si>
  <si>
    <t>合　　計</t>
    <phoneticPr fontId="3"/>
  </si>
  <si>
    <t>証券</t>
    <phoneticPr fontId="3"/>
  </si>
  <si>
    <t>銀行</t>
    <phoneticPr fontId="3"/>
  </si>
  <si>
    <t>信託銀行</t>
    <phoneticPr fontId="3"/>
  </si>
  <si>
    <t>そ　の　他</t>
    <phoneticPr fontId="3"/>
  </si>
  <si>
    <t>（百万円）</t>
    <phoneticPr fontId="3"/>
  </si>
  <si>
    <t>株式等振替制度</t>
    <phoneticPr fontId="3"/>
  </si>
  <si>
    <t>株式</t>
    <phoneticPr fontId="3"/>
  </si>
  <si>
    <t>新株予約権付社債</t>
    <phoneticPr fontId="3"/>
  </si>
  <si>
    <t>新株予約権</t>
    <phoneticPr fontId="3"/>
  </si>
  <si>
    <t>優先出資</t>
    <phoneticPr fontId="3"/>
  </si>
  <si>
    <t>投資口</t>
    <phoneticPr fontId="3"/>
  </si>
  <si>
    <t>投資信託受益権（ETF）</t>
    <phoneticPr fontId="3"/>
  </si>
  <si>
    <t>受益証券発行信託の受益権</t>
    <phoneticPr fontId="3"/>
  </si>
  <si>
    <t>外国株券等保管振替決済制度</t>
    <phoneticPr fontId="3"/>
  </si>
  <si>
    <t>外国株券等</t>
    <phoneticPr fontId="3"/>
  </si>
  <si>
    <t>一般債振替制度</t>
    <phoneticPr fontId="3"/>
  </si>
  <si>
    <t xml:space="preserve">地方債（公募）                        </t>
    <phoneticPr fontId="3"/>
  </si>
  <si>
    <t xml:space="preserve">地方債（非公募）                        </t>
    <phoneticPr fontId="3"/>
  </si>
  <si>
    <t xml:space="preserve">政府保証債（公募）                      </t>
    <phoneticPr fontId="3"/>
  </si>
  <si>
    <t xml:space="preserve">財投機関債等(公募)                           </t>
    <phoneticPr fontId="3"/>
  </si>
  <si>
    <t xml:space="preserve">非公募特別債                            </t>
    <phoneticPr fontId="3"/>
  </si>
  <si>
    <t xml:space="preserve">地方公社債（公募）                      </t>
    <phoneticPr fontId="3"/>
  </si>
  <si>
    <t xml:space="preserve">地方公社債（非公募）                    </t>
    <phoneticPr fontId="3"/>
  </si>
  <si>
    <t xml:space="preserve">金融債（割引）                          </t>
    <phoneticPr fontId="3"/>
  </si>
  <si>
    <t xml:space="preserve">金融債（利付）                          </t>
    <phoneticPr fontId="3"/>
  </si>
  <si>
    <t xml:space="preserve">社債（公募）                            </t>
    <phoneticPr fontId="3"/>
  </si>
  <si>
    <t xml:space="preserve">社債（公募）うち一般担保付                         </t>
    <phoneticPr fontId="3"/>
  </si>
  <si>
    <t xml:space="preserve">社債（非公募）                          </t>
    <phoneticPr fontId="3"/>
  </si>
  <si>
    <t xml:space="preserve">社債（非公募）うち一般担保付                      </t>
    <phoneticPr fontId="3"/>
  </si>
  <si>
    <t xml:space="preserve">資産担保型社債（公募）                  </t>
    <phoneticPr fontId="3"/>
  </si>
  <si>
    <t xml:space="preserve">資産担保型社債（非公募）                </t>
    <phoneticPr fontId="3"/>
  </si>
  <si>
    <t xml:space="preserve">円建外債（公募）                        </t>
    <phoneticPr fontId="3"/>
  </si>
  <si>
    <t xml:space="preserve">円建外債（非公募）                      </t>
    <phoneticPr fontId="3"/>
  </si>
  <si>
    <t xml:space="preserve">資産担保型社債（非居住者分）（公募）    </t>
    <phoneticPr fontId="3"/>
  </si>
  <si>
    <t xml:space="preserve">資産担保型社債（非居住者分）（非公募）  </t>
    <phoneticPr fontId="3"/>
  </si>
  <si>
    <t xml:space="preserve">その他（公募）                          </t>
    <phoneticPr fontId="3"/>
  </si>
  <si>
    <t xml:space="preserve">その他（非公募）                        </t>
    <phoneticPr fontId="3"/>
  </si>
  <si>
    <t>短期社債振替制度</t>
    <phoneticPr fontId="3"/>
  </si>
  <si>
    <t>CP</t>
    <phoneticPr fontId="3"/>
  </si>
  <si>
    <t>投資信託振替制度</t>
    <phoneticPr fontId="3"/>
  </si>
  <si>
    <t>投資信託（公募）</t>
    <phoneticPr fontId="3"/>
  </si>
  <si>
    <t>投資信託（私募）（注）</t>
    <phoneticPr fontId="3"/>
  </si>
  <si>
    <t>N/A</t>
    <phoneticPr fontId="3"/>
  </si>
  <si>
    <t>注　参考：2017年3月末時点の契約型私募投信の銘柄数及び純資産残高（投資信託協会公表）5,007銘柄、76,825,999百万円</t>
    <phoneticPr fontId="3"/>
  </si>
  <si>
    <t>全制度口座残高一覧（2017年4月末時点）</t>
    <phoneticPr fontId="3"/>
  </si>
  <si>
    <t>【口座残高（時価総額）】</t>
    <phoneticPr fontId="3"/>
  </si>
  <si>
    <t>制　　度</t>
    <phoneticPr fontId="3"/>
  </si>
  <si>
    <t>証券種類</t>
    <phoneticPr fontId="3"/>
  </si>
  <si>
    <t>銘　柄　数</t>
    <phoneticPr fontId="3"/>
  </si>
  <si>
    <t>合　　計</t>
    <phoneticPr fontId="3"/>
  </si>
  <si>
    <t>証券</t>
    <phoneticPr fontId="3"/>
  </si>
  <si>
    <t>銀行</t>
    <phoneticPr fontId="3"/>
  </si>
  <si>
    <t>信託銀行</t>
    <phoneticPr fontId="3"/>
  </si>
  <si>
    <t>そ　の　他</t>
    <phoneticPr fontId="3"/>
  </si>
  <si>
    <t>（百万円）</t>
    <phoneticPr fontId="3"/>
  </si>
  <si>
    <t>株式等振替制度</t>
    <phoneticPr fontId="3"/>
  </si>
  <si>
    <t>株式</t>
    <phoneticPr fontId="3"/>
  </si>
  <si>
    <t>新株予約権付社債</t>
    <phoneticPr fontId="3"/>
  </si>
  <si>
    <t>新株予約権</t>
    <phoneticPr fontId="3"/>
  </si>
  <si>
    <t>優先出資</t>
    <phoneticPr fontId="3"/>
  </si>
  <si>
    <t>投資口</t>
    <phoneticPr fontId="3"/>
  </si>
  <si>
    <t>投資信託受益権（ETF）</t>
    <phoneticPr fontId="3"/>
  </si>
  <si>
    <t>受益証券発行信託の受益権</t>
    <phoneticPr fontId="3"/>
  </si>
  <si>
    <t>外国株券等保管振替決済制度</t>
    <phoneticPr fontId="3"/>
  </si>
  <si>
    <t>外国株券等</t>
    <phoneticPr fontId="3"/>
  </si>
  <si>
    <t>一般債振替制度</t>
    <phoneticPr fontId="3"/>
  </si>
  <si>
    <t xml:space="preserve">地方債（公募）                        </t>
    <phoneticPr fontId="3"/>
  </si>
  <si>
    <t xml:space="preserve">地方債（非公募）                        </t>
    <phoneticPr fontId="3"/>
  </si>
  <si>
    <t xml:space="preserve">政府保証債（公募）                      </t>
    <phoneticPr fontId="3"/>
  </si>
  <si>
    <t xml:space="preserve">財投機関債等(公募)                           </t>
    <phoneticPr fontId="3"/>
  </si>
  <si>
    <t xml:space="preserve">非公募特別債                            </t>
    <phoneticPr fontId="3"/>
  </si>
  <si>
    <t xml:space="preserve">地方公社債（公募）                      </t>
    <phoneticPr fontId="3"/>
  </si>
  <si>
    <t xml:space="preserve">地方公社債（非公募）                    </t>
    <phoneticPr fontId="3"/>
  </si>
  <si>
    <t xml:space="preserve">金融債（割引）                          </t>
    <phoneticPr fontId="3"/>
  </si>
  <si>
    <t xml:space="preserve">金融債（利付）                          </t>
    <phoneticPr fontId="3"/>
  </si>
  <si>
    <t xml:space="preserve">社債（公募）                            </t>
    <phoneticPr fontId="3"/>
  </si>
  <si>
    <t xml:space="preserve">社債（公募）うち一般担保付                         </t>
    <phoneticPr fontId="3"/>
  </si>
  <si>
    <t xml:space="preserve">社債（非公募）                          </t>
    <phoneticPr fontId="3"/>
  </si>
  <si>
    <t xml:space="preserve">社債（非公募）うち一般担保付                      </t>
    <phoneticPr fontId="3"/>
  </si>
  <si>
    <t xml:space="preserve">資産担保型社債（公募）                  </t>
    <phoneticPr fontId="3"/>
  </si>
  <si>
    <t xml:space="preserve">資産担保型社債（非公募）                </t>
    <phoneticPr fontId="3"/>
  </si>
  <si>
    <t xml:space="preserve">円建外債（公募）                        </t>
    <phoneticPr fontId="3"/>
  </si>
  <si>
    <t xml:space="preserve">円建外債（非公募）                      </t>
    <phoneticPr fontId="3"/>
  </si>
  <si>
    <t xml:space="preserve">資産担保型社債（非居住者分）（公募）    </t>
    <phoneticPr fontId="3"/>
  </si>
  <si>
    <t xml:space="preserve">資産担保型社債（非居住者分）（非公募）  </t>
    <phoneticPr fontId="3"/>
  </si>
  <si>
    <t xml:space="preserve">その他（公募）                          </t>
    <phoneticPr fontId="3"/>
  </si>
  <si>
    <t xml:space="preserve">その他（非公募）                        </t>
    <phoneticPr fontId="3"/>
  </si>
  <si>
    <t>短期社債振替制度</t>
    <phoneticPr fontId="3"/>
  </si>
  <si>
    <t>CP</t>
    <phoneticPr fontId="3"/>
  </si>
  <si>
    <t>投資信託振替制度</t>
    <phoneticPr fontId="3"/>
  </si>
  <si>
    <t>投資信託（公募）</t>
    <phoneticPr fontId="3"/>
  </si>
  <si>
    <t>投資信託（私募）（注）</t>
    <phoneticPr fontId="3"/>
  </si>
  <si>
    <t>N/A</t>
    <phoneticPr fontId="3"/>
  </si>
  <si>
    <t>注　参考：2017年4月末時点の契約型私募投信の銘柄数及び純資産残高（投資信託協会公表）5,058銘柄、77,949,086百万円</t>
    <phoneticPr fontId="3"/>
  </si>
  <si>
    <t>全制度口座残高一覧（2017年5月末時点）</t>
    <phoneticPr fontId="3"/>
  </si>
  <si>
    <t>【口座残高（時価総額）】</t>
    <phoneticPr fontId="3"/>
  </si>
  <si>
    <t>制　　度</t>
    <phoneticPr fontId="3"/>
  </si>
  <si>
    <t>証券種類</t>
    <phoneticPr fontId="3"/>
  </si>
  <si>
    <t>銘　柄　数</t>
    <phoneticPr fontId="3"/>
  </si>
  <si>
    <t>合　　計</t>
    <phoneticPr fontId="3"/>
  </si>
  <si>
    <t>証券</t>
    <phoneticPr fontId="3"/>
  </si>
  <si>
    <t>銀行</t>
    <phoneticPr fontId="3"/>
  </si>
  <si>
    <t>信託銀行</t>
    <phoneticPr fontId="3"/>
  </si>
  <si>
    <t>そ　の　他</t>
    <phoneticPr fontId="3"/>
  </si>
  <si>
    <t>（百万円）</t>
    <phoneticPr fontId="3"/>
  </si>
  <si>
    <t>（百万円）</t>
    <phoneticPr fontId="3"/>
  </si>
  <si>
    <t>（百万円）</t>
    <phoneticPr fontId="3"/>
  </si>
  <si>
    <t>（百万円）</t>
    <phoneticPr fontId="3"/>
  </si>
  <si>
    <t>株式等振替制度</t>
    <phoneticPr fontId="3"/>
  </si>
  <si>
    <t>株式</t>
    <phoneticPr fontId="3"/>
  </si>
  <si>
    <t>新株予約権付社債</t>
    <phoneticPr fontId="3"/>
  </si>
  <si>
    <t>新株予約権</t>
    <phoneticPr fontId="3"/>
  </si>
  <si>
    <t>優先出資</t>
    <phoneticPr fontId="3"/>
  </si>
  <si>
    <t>投資口</t>
    <phoneticPr fontId="3"/>
  </si>
  <si>
    <t>投資信託受益権（ETF）</t>
    <phoneticPr fontId="3"/>
  </si>
  <si>
    <t>受益証券発行信託の受益権</t>
    <phoneticPr fontId="3"/>
  </si>
  <si>
    <t>外国株券等保管振替決済制度</t>
    <phoneticPr fontId="3"/>
  </si>
  <si>
    <t>外国株券等</t>
    <phoneticPr fontId="3"/>
  </si>
  <si>
    <t>一般債振替制度</t>
    <phoneticPr fontId="3"/>
  </si>
  <si>
    <t xml:space="preserve">地方債（公募）                        </t>
    <phoneticPr fontId="3"/>
  </si>
  <si>
    <t xml:space="preserve">地方債（非公募）                        </t>
    <phoneticPr fontId="3"/>
  </si>
  <si>
    <t xml:space="preserve">政府保証債（公募）                      </t>
    <phoneticPr fontId="3"/>
  </si>
  <si>
    <t xml:space="preserve">財投機関債等(公募)                           </t>
    <phoneticPr fontId="3"/>
  </si>
  <si>
    <t xml:space="preserve">非公募特別債                            </t>
    <phoneticPr fontId="3"/>
  </si>
  <si>
    <t xml:space="preserve">地方公社債（公募）                      </t>
    <phoneticPr fontId="3"/>
  </si>
  <si>
    <t xml:space="preserve">地方公社債（非公募）                    </t>
    <phoneticPr fontId="3"/>
  </si>
  <si>
    <t xml:space="preserve">金融債（割引）                          </t>
    <phoneticPr fontId="3"/>
  </si>
  <si>
    <t xml:space="preserve">金融債（利付）                          </t>
    <phoneticPr fontId="3"/>
  </si>
  <si>
    <t xml:space="preserve">社債（公募）                            </t>
    <phoneticPr fontId="3"/>
  </si>
  <si>
    <t xml:space="preserve">社債（公募）うち一般担保付                         </t>
    <phoneticPr fontId="3"/>
  </si>
  <si>
    <t xml:space="preserve">社債（非公募）                          </t>
    <phoneticPr fontId="3"/>
  </si>
  <si>
    <t xml:space="preserve">社債（非公募）うち一般担保付                      </t>
    <phoneticPr fontId="3"/>
  </si>
  <si>
    <t xml:space="preserve">資産担保型社債（公募）                  </t>
    <phoneticPr fontId="3"/>
  </si>
  <si>
    <t xml:space="preserve">資産担保型社債（非公募）                </t>
    <phoneticPr fontId="3"/>
  </si>
  <si>
    <t xml:space="preserve">円建外債（公募）                        </t>
    <phoneticPr fontId="3"/>
  </si>
  <si>
    <t xml:space="preserve">円建外債（非公募）                      </t>
    <phoneticPr fontId="3"/>
  </si>
  <si>
    <t xml:space="preserve">資産担保型社債（非居住者分）（公募）    </t>
    <phoneticPr fontId="3"/>
  </si>
  <si>
    <t xml:space="preserve">資産担保型社債（非居住者分）（非公募）  </t>
    <phoneticPr fontId="3"/>
  </si>
  <si>
    <t xml:space="preserve">その他（公募）                          </t>
    <phoneticPr fontId="3"/>
  </si>
  <si>
    <t xml:space="preserve">その他（非公募）                        </t>
    <phoneticPr fontId="3"/>
  </si>
  <si>
    <t>短期社債振替制度</t>
    <phoneticPr fontId="3"/>
  </si>
  <si>
    <t>CP</t>
    <phoneticPr fontId="3"/>
  </si>
  <si>
    <t>投資信託振替制度</t>
    <phoneticPr fontId="3"/>
  </si>
  <si>
    <t>投資信託（公募）</t>
    <phoneticPr fontId="3"/>
  </si>
  <si>
    <t>投資信託（私募）（注）</t>
    <phoneticPr fontId="3"/>
  </si>
  <si>
    <t>N/A</t>
    <phoneticPr fontId="3"/>
  </si>
  <si>
    <t>N/A</t>
    <phoneticPr fontId="3"/>
  </si>
  <si>
    <t>注　参考：2017年5月末時点の契約型私募投信の銘柄数及び純資産残高（投資信託協会公表）5,083銘柄、75,984,415百万円</t>
    <phoneticPr fontId="3"/>
  </si>
  <si>
    <t>全制度口座残高一覧（2017年6月末時点）</t>
    <phoneticPr fontId="3"/>
  </si>
  <si>
    <t>【口座残高（時価総額）】</t>
    <phoneticPr fontId="3"/>
  </si>
  <si>
    <t>制　　度</t>
    <phoneticPr fontId="3"/>
  </si>
  <si>
    <t>証券種類</t>
    <phoneticPr fontId="3"/>
  </si>
  <si>
    <t>銘　柄　数</t>
    <phoneticPr fontId="3"/>
  </si>
  <si>
    <t>合　　計</t>
    <phoneticPr fontId="3"/>
  </si>
  <si>
    <t>証券</t>
    <phoneticPr fontId="3"/>
  </si>
  <si>
    <t>銀行</t>
    <phoneticPr fontId="3"/>
  </si>
  <si>
    <t>信託銀行</t>
    <phoneticPr fontId="3"/>
  </si>
  <si>
    <t>そ　の　他</t>
    <phoneticPr fontId="3"/>
  </si>
  <si>
    <t>（百万円）</t>
    <phoneticPr fontId="3"/>
  </si>
  <si>
    <t>株式等振替制度</t>
    <phoneticPr fontId="3"/>
  </si>
  <si>
    <t>株式</t>
    <phoneticPr fontId="3"/>
  </si>
  <si>
    <t>新株予約権付社債</t>
    <phoneticPr fontId="3"/>
  </si>
  <si>
    <t>新株予約権</t>
    <phoneticPr fontId="3"/>
  </si>
  <si>
    <t>優先出資</t>
    <phoneticPr fontId="3"/>
  </si>
  <si>
    <t>投資口</t>
    <phoneticPr fontId="3"/>
  </si>
  <si>
    <t>投資信託受益権（ETF）</t>
    <phoneticPr fontId="3"/>
  </si>
  <si>
    <t>受益証券発行信託の受益権</t>
    <phoneticPr fontId="3"/>
  </si>
  <si>
    <t>外国株券等保管振替決済制度</t>
    <phoneticPr fontId="3"/>
  </si>
  <si>
    <t>外国株券等</t>
    <phoneticPr fontId="3"/>
  </si>
  <si>
    <t>一般債振替制度</t>
    <phoneticPr fontId="3"/>
  </si>
  <si>
    <t xml:space="preserve">地方債（公募）                        </t>
    <phoneticPr fontId="3"/>
  </si>
  <si>
    <t xml:space="preserve">地方債（非公募）                        </t>
    <phoneticPr fontId="3"/>
  </si>
  <si>
    <t xml:space="preserve">政府保証債（公募）                      </t>
    <phoneticPr fontId="3"/>
  </si>
  <si>
    <t xml:space="preserve">財投機関債等(公募)                           </t>
    <phoneticPr fontId="3"/>
  </si>
  <si>
    <t xml:space="preserve">非公募特別債                            </t>
    <phoneticPr fontId="3"/>
  </si>
  <si>
    <t xml:space="preserve">地方公社債（公募）                      </t>
    <phoneticPr fontId="3"/>
  </si>
  <si>
    <t xml:space="preserve">地方公社債（非公募）                    </t>
    <phoneticPr fontId="3"/>
  </si>
  <si>
    <t xml:space="preserve">金融債（割引）                          </t>
    <phoneticPr fontId="3"/>
  </si>
  <si>
    <t xml:space="preserve">金融債（利付）                          </t>
    <phoneticPr fontId="3"/>
  </si>
  <si>
    <t xml:space="preserve">社債（公募）                            </t>
    <phoneticPr fontId="3"/>
  </si>
  <si>
    <t xml:space="preserve">社債（公募）うち一般担保付                         </t>
    <phoneticPr fontId="3"/>
  </si>
  <si>
    <t xml:space="preserve">社債（非公募）                          </t>
    <phoneticPr fontId="3"/>
  </si>
  <si>
    <t xml:space="preserve">社債（非公募）うち一般担保付                      </t>
    <phoneticPr fontId="3"/>
  </si>
  <si>
    <t xml:space="preserve">資産担保型社債（公募）                  </t>
    <phoneticPr fontId="3"/>
  </si>
  <si>
    <t xml:space="preserve">資産担保型社債（非公募）                </t>
    <phoneticPr fontId="3"/>
  </si>
  <si>
    <t xml:space="preserve">円建外債（公募）                        </t>
    <phoneticPr fontId="3"/>
  </si>
  <si>
    <t xml:space="preserve">円建外債（非公募）                      </t>
    <phoneticPr fontId="3"/>
  </si>
  <si>
    <t xml:space="preserve">資産担保型社債（非居住者分）（公募）    </t>
    <phoneticPr fontId="3"/>
  </si>
  <si>
    <t xml:space="preserve">資産担保型社債（非居住者分）（非公募）  </t>
    <phoneticPr fontId="3"/>
  </si>
  <si>
    <t xml:space="preserve">その他（公募）                          </t>
    <phoneticPr fontId="3"/>
  </si>
  <si>
    <t xml:space="preserve">その他（非公募）                        </t>
    <phoneticPr fontId="3"/>
  </si>
  <si>
    <t>短期社債振替制度</t>
    <phoneticPr fontId="3"/>
  </si>
  <si>
    <t>CP</t>
    <phoneticPr fontId="3"/>
  </si>
  <si>
    <t>投資信託振替制度</t>
    <phoneticPr fontId="3"/>
  </si>
  <si>
    <t>投資信託（公募）</t>
    <phoneticPr fontId="3"/>
  </si>
  <si>
    <t>投資信託（私募）（注）</t>
    <phoneticPr fontId="3"/>
  </si>
  <si>
    <t>NA</t>
    <phoneticPr fontId="3"/>
  </si>
  <si>
    <t>注　参考：2017年6月末時点の契約型私募投信の銘柄数及び純資産残高（投資信託協会公表）5,138銘柄、76,872,641百万円</t>
    <phoneticPr fontId="3"/>
  </si>
  <si>
    <t>NA</t>
  </si>
  <si>
    <t>全制度口座残高一覧（2017年7月末時点）</t>
    <phoneticPr fontId="3"/>
  </si>
  <si>
    <t>【口座残高（時価総額）】</t>
    <phoneticPr fontId="3"/>
  </si>
  <si>
    <t>制　　度</t>
    <phoneticPr fontId="3"/>
  </si>
  <si>
    <t>証券種類</t>
    <phoneticPr fontId="3"/>
  </si>
  <si>
    <t>銘　柄　数</t>
    <phoneticPr fontId="3"/>
  </si>
  <si>
    <t>合　　計</t>
    <phoneticPr fontId="3"/>
  </si>
  <si>
    <t>証券</t>
    <phoneticPr fontId="3"/>
  </si>
  <si>
    <t>銀行</t>
    <phoneticPr fontId="3"/>
  </si>
  <si>
    <t>信託銀行</t>
    <phoneticPr fontId="3"/>
  </si>
  <si>
    <t>そ　の　他</t>
    <phoneticPr fontId="3"/>
  </si>
  <si>
    <t>（百万円）</t>
    <phoneticPr fontId="3"/>
  </si>
  <si>
    <t>株式等振替制度</t>
    <phoneticPr fontId="3"/>
  </si>
  <si>
    <t>株式</t>
    <phoneticPr fontId="3"/>
  </si>
  <si>
    <t>新株予約権付社債</t>
    <phoneticPr fontId="3"/>
  </si>
  <si>
    <t>新株予約権</t>
    <phoneticPr fontId="3"/>
  </si>
  <si>
    <t>優先出資</t>
    <phoneticPr fontId="3"/>
  </si>
  <si>
    <t>投資口</t>
    <phoneticPr fontId="3"/>
  </si>
  <si>
    <t>投資信託受益権（ETF）</t>
    <phoneticPr fontId="3"/>
  </si>
  <si>
    <t>受益証券発行信託の受益権</t>
    <phoneticPr fontId="3"/>
  </si>
  <si>
    <t>外国株券等保管振替決済制度</t>
    <phoneticPr fontId="3"/>
  </si>
  <si>
    <t>外国株券等</t>
    <phoneticPr fontId="3"/>
  </si>
  <si>
    <t>一般債振替制度</t>
    <phoneticPr fontId="3"/>
  </si>
  <si>
    <t xml:space="preserve">地方債（公募）                        </t>
    <phoneticPr fontId="3"/>
  </si>
  <si>
    <t xml:space="preserve">地方債（非公募）                        </t>
    <phoneticPr fontId="3"/>
  </si>
  <si>
    <t xml:space="preserve">政府保証債（公募）                      </t>
    <phoneticPr fontId="3"/>
  </si>
  <si>
    <t xml:space="preserve">財投機関債等(公募)                           </t>
    <phoneticPr fontId="3"/>
  </si>
  <si>
    <t xml:space="preserve">非公募特別債                            </t>
    <phoneticPr fontId="3"/>
  </si>
  <si>
    <t xml:space="preserve">地方公社債（公募）                      </t>
    <phoneticPr fontId="3"/>
  </si>
  <si>
    <t xml:space="preserve">地方公社債（非公募）                    </t>
    <phoneticPr fontId="3"/>
  </si>
  <si>
    <t xml:space="preserve">金融債（割引）                          </t>
    <phoneticPr fontId="3"/>
  </si>
  <si>
    <t xml:space="preserve">金融債（利付）                          </t>
    <phoneticPr fontId="3"/>
  </si>
  <si>
    <t xml:space="preserve">社債（公募）                            </t>
    <phoneticPr fontId="3"/>
  </si>
  <si>
    <t xml:space="preserve">社債（公募）うち一般担保付                         </t>
    <phoneticPr fontId="3"/>
  </si>
  <si>
    <t xml:space="preserve">社債（非公募）                          </t>
    <phoneticPr fontId="3"/>
  </si>
  <si>
    <t xml:space="preserve">社債（非公募）うち一般担保付                      </t>
    <phoneticPr fontId="3"/>
  </si>
  <si>
    <t xml:space="preserve">資産担保型社債（公募）                  </t>
    <phoneticPr fontId="3"/>
  </si>
  <si>
    <t xml:space="preserve">資産担保型社債（非公募）                </t>
    <phoneticPr fontId="3"/>
  </si>
  <si>
    <t xml:space="preserve">円建外債（公募）                        </t>
    <phoneticPr fontId="3"/>
  </si>
  <si>
    <t xml:space="preserve">円建外債（非公募）                      </t>
    <phoneticPr fontId="3"/>
  </si>
  <si>
    <t xml:space="preserve">資産担保型社債（非居住者分）（公募）    </t>
    <phoneticPr fontId="3"/>
  </si>
  <si>
    <t xml:space="preserve">資産担保型社債（非居住者分）（非公募）  </t>
    <phoneticPr fontId="3"/>
  </si>
  <si>
    <t xml:space="preserve">その他（公募）                          </t>
    <phoneticPr fontId="3"/>
  </si>
  <si>
    <t xml:space="preserve">その他（非公募）                        </t>
    <phoneticPr fontId="3"/>
  </si>
  <si>
    <t>短期社債振替制度</t>
    <phoneticPr fontId="3"/>
  </si>
  <si>
    <t>CP</t>
    <phoneticPr fontId="3"/>
  </si>
  <si>
    <t>投資信託振替制度</t>
    <phoneticPr fontId="3"/>
  </si>
  <si>
    <t>投資信託（公募）</t>
    <phoneticPr fontId="3"/>
  </si>
  <si>
    <t>投資信託（私募）（注）</t>
    <phoneticPr fontId="3"/>
  </si>
  <si>
    <t>NA</t>
    <phoneticPr fontId="3"/>
  </si>
  <si>
    <t>参考：2017年7月末時点の契約型私募投信の銘柄数及び純資産残高（投資信託協会公表）5,163銘柄、77,958,102百万円</t>
    <phoneticPr fontId="3"/>
  </si>
  <si>
    <t>全制度口座残高一覧（2017年8月末時点）</t>
    <phoneticPr fontId="3"/>
  </si>
  <si>
    <t>【口座残高（時価総額）】</t>
    <phoneticPr fontId="3"/>
  </si>
  <si>
    <t>制　　度</t>
    <phoneticPr fontId="3"/>
  </si>
  <si>
    <t>証券種類</t>
    <phoneticPr fontId="3"/>
  </si>
  <si>
    <t>銘　柄　数</t>
    <phoneticPr fontId="3"/>
  </si>
  <si>
    <t>合　　計</t>
    <phoneticPr fontId="3"/>
  </si>
  <si>
    <t>証券</t>
    <phoneticPr fontId="3"/>
  </si>
  <si>
    <t>銀行</t>
    <phoneticPr fontId="3"/>
  </si>
  <si>
    <t>信託銀行</t>
    <phoneticPr fontId="3"/>
  </si>
  <si>
    <t>そ　の　他</t>
    <phoneticPr fontId="3"/>
  </si>
  <si>
    <t>（百万円）</t>
    <phoneticPr fontId="3"/>
  </si>
  <si>
    <t>株式等振替制度</t>
    <phoneticPr fontId="3"/>
  </si>
  <si>
    <t>株式</t>
    <phoneticPr fontId="3"/>
  </si>
  <si>
    <t>新株予約権付社債</t>
    <phoneticPr fontId="3"/>
  </si>
  <si>
    <t>新株予約権</t>
    <phoneticPr fontId="3"/>
  </si>
  <si>
    <t>優先出資</t>
    <phoneticPr fontId="3"/>
  </si>
  <si>
    <t>投資口</t>
    <phoneticPr fontId="3"/>
  </si>
  <si>
    <t>投資信託受益権（ETF）</t>
    <phoneticPr fontId="3"/>
  </si>
  <si>
    <t>受益証券発行信託の受益権</t>
    <phoneticPr fontId="3"/>
  </si>
  <si>
    <t>外国株券等保管振替決済制度</t>
    <phoneticPr fontId="3"/>
  </si>
  <si>
    <t>外国株券等</t>
    <phoneticPr fontId="3"/>
  </si>
  <si>
    <t>一般債振替制度</t>
    <phoneticPr fontId="3"/>
  </si>
  <si>
    <t xml:space="preserve">地方債（公募）                        </t>
    <phoneticPr fontId="3"/>
  </si>
  <si>
    <t xml:space="preserve">地方債（非公募）                        </t>
    <phoneticPr fontId="3"/>
  </si>
  <si>
    <t xml:space="preserve">政府保証債（公募）                      </t>
    <phoneticPr fontId="3"/>
  </si>
  <si>
    <t xml:space="preserve">財投機関債等(公募)                           </t>
    <phoneticPr fontId="3"/>
  </si>
  <si>
    <t xml:space="preserve">非公募特別債                            </t>
    <phoneticPr fontId="3"/>
  </si>
  <si>
    <t xml:space="preserve">地方公社債（公募）                      </t>
    <phoneticPr fontId="3"/>
  </si>
  <si>
    <t xml:space="preserve">地方公社債（非公募）                    </t>
    <phoneticPr fontId="3"/>
  </si>
  <si>
    <t xml:space="preserve">金融債（割引）                          </t>
    <phoneticPr fontId="3"/>
  </si>
  <si>
    <t xml:space="preserve">金融債（利付）                          </t>
    <phoneticPr fontId="3"/>
  </si>
  <si>
    <t xml:space="preserve">社債（公募）                            </t>
    <phoneticPr fontId="3"/>
  </si>
  <si>
    <t xml:space="preserve">社債（公募）うち一般担保付                         </t>
    <phoneticPr fontId="3"/>
  </si>
  <si>
    <t xml:space="preserve">社債（非公募）                          </t>
    <phoneticPr fontId="3"/>
  </si>
  <si>
    <t xml:space="preserve">社債（非公募）うち一般担保付                      </t>
    <phoneticPr fontId="3"/>
  </si>
  <si>
    <t xml:space="preserve">資産担保型社債（公募）                  </t>
    <phoneticPr fontId="3"/>
  </si>
  <si>
    <t xml:space="preserve">資産担保型社債（非公募）                </t>
    <phoneticPr fontId="3"/>
  </si>
  <si>
    <t xml:space="preserve">円建外債（公募）                        </t>
    <phoneticPr fontId="3"/>
  </si>
  <si>
    <t xml:space="preserve">円建外債（非公募）                      </t>
    <phoneticPr fontId="3"/>
  </si>
  <si>
    <t xml:space="preserve">資産担保型社債（非居住者分）（公募）    </t>
    <phoneticPr fontId="3"/>
  </si>
  <si>
    <t xml:space="preserve">資産担保型社債（非居住者分）（非公募）  </t>
    <phoneticPr fontId="3"/>
  </si>
  <si>
    <t xml:space="preserve">その他（公募）                          </t>
    <phoneticPr fontId="3"/>
  </si>
  <si>
    <t xml:space="preserve">その他（非公募）                        </t>
    <phoneticPr fontId="3"/>
  </si>
  <si>
    <t>短期社債振替制度</t>
    <phoneticPr fontId="3"/>
  </si>
  <si>
    <t>CP</t>
    <phoneticPr fontId="3"/>
  </si>
  <si>
    <t>投資信託振替制度</t>
    <phoneticPr fontId="3"/>
  </si>
  <si>
    <t>投資信託（公募）</t>
    <phoneticPr fontId="3"/>
  </si>
  <si>
    <t>投資信託（私募）（注）</t>
    <phoneticPr fontId="3"/>
  </si>
  <si>
    <t>N/A</t>
    <phoneticPr fontId="3"/>
  </si>
  <si>
    <t>注　参考：2017年8月末時点の契約型私募投信の銘柄数及び純資産残高（投資信託協会公表）5,215銘柄、78,807,264百万円</t>
    <phoneticPr fontId="3"/>
  </si>
  <si>
    <t>全制度口座残高一覧（2017年9月末時点）</t>
    <phoneticPr fontId="3"/>
  </si>
  <si>
    <t>【口座残高（時価総額）】</t>
    <phoneticPr fontId="3"/>
  </si>
  <si>
    <t>制　　度</t>
    <phoneticPr fontId="3"/>
  </si>
  <si>
    <t>証券種類</t>
    <phoneticPr fontId="3"/>
  </si>
  <si>
    <t>銘　柄　数</t>
    <phoneticPr fontId="3"/>
  </si>
  <si>
    <t>合　　計</t>
    <phoneticPr fontId="3"/>
  </si>
  <si>
    <t>証券</t>
    <phoneticPr fontId="3"/>
  </si>
  <si>
    <t>銀行</t>
    <phoneticPr fontId="3"/>
  </si>
  <si>
    <t>信託銀行</t>
    <phoneticPr fontId="3"/>
  </si>
  <si>
    <t>そ　の　他</t>
    <phoneticPr fontId="3"/>
  </si>
  <si>
    <t>（百万円）</t>
    <phoneticPr fontId="3"/>
  </si>
  <si>
    <t>株式等振替制度</t>
    <phoneticPr fontId="3"/>
  </si>
  <si>
    <t>株式</t>
    <phoneticPr fontId="3"/>
  </si>
  <si>
    <t>新株予約権付社債</t>
    <phoneticPr fontId="3"/>
  </si>
  <si>
    <t>新株予約権</t>
    <phoneticPr fontId="3"/>
  </si>
  <si>
    <t>優先出資</t>
    <phoneticPr fontId="3"/>
  </si>
  <si>
    <t>投資口</t>
    <phoneticPr fontId="3"/>
  </si>
  <si>
    <t>投資信託受益権（ETF）</t>
    <phoneticPr fontId="3"/>
  </si>
  <si>
    <t>受益証券発行信託の受益権</t>
    <phoneticPr fontId="3"/>
  </si>
  <si>
    <t>外国株券等保管振替決済制度</t>
    <phoneticPr fontId="3"/>
  </si>
  <si>
    <t>外国株券等</t>
    <phoneticPr fontId="3"/>
  </si>
  <si>
    <t>一般債振替制度</t>
    <phoneticPr fontId="3"/>
  </si>
  <si>
    <t xml:space="preserve">地方債（公募）                        </t>
    <phoneticPr fontId="3"/>
  </si>
  <si>
    <t xml:space="preserve">地方債（非公募）                        </t>
    <phoneticPr fontId="3"/>
  </si>
  <si>
    <t xml:space="preserve">政府保証債（公募）                      </t>
    <phoneticPr fontId="3"/>
  </si>
  <si>
    <t xml:space="preserve">財投機関債等(公募)                           </t>
    <phoneticPr fontId="3"/>
  </si>
  <si>
    <t xml:space="preserve">非公募特別債                            </t>
    <phoneticPr fontId="3"/>
  </si>
  <si>
    <t xml:space="preserve">地方公社債（公募）                      </t>
    <phoneticPr fontId="3"/>
  </si>
  <si>
    <t xml:space="preserve">地方公社債（非公募）                    </t>
    <phoneticPr fontId="3"/>
  </si>
  <si>
    <t xml:space="preserve">金融債（割引）                          </t>
    <phoneticPr fontId="3"/>
  </si>
  <si>
    <t xml:space="preserve">金融債（利付）                          </t>
    <phoneticPr fontId="3"/>
  </si>
  <si>
    <t xml:space="preserve">社債（公募）                            </t>
    <phoneticPr fontId="3"/>
  </si>
  <si>
    <t xml:space="preserve">社債（公募）うち一般担保付                         </t>
    <phoneticPr fontId="3"/>
  </si>
  <si>
    <t xml:space="preserve">社債（非公募）                          </t>
    <phoneticPr fontId="3"/>
  </si>
  <si>
    <t xml:space="preserve">社債（非公募）うち一般担保付                      </t>
    <phoneticPr fontId="3"/>
  </si>
  <si>
    <t xml:space="preserve">資産担保型社債（公募）                  </t>
    <phoneticPr fontId="3"/>
  </si>
  <si>
    <t xml:space="preserve">資産担保型社債（非公募）                </t>
    <phoneticPr fontId="3"/>
  </si>
  <si>
    <t xml:space="preserve">円建外債（公募）                        </t>
    <phoneticPr fontId="3"/>
  </si>
  <si>
    <t xml:space="preserve">円建外債（非公募）                      </t>
    <phoneticPr fontId="3"/>
  </si>
  <si>
    <t xml:space="preserve">資産担保型社債（非居住者分）（公募）    </t>
    <phoneticPr fontId="3"/>
  </si>
  <si>
    <t xml:space="preserve">資産担保型社債（非居住者分）（非公募）  </t>
    <phoneticPr fontId="3"/>
  </si>
  <si>
    <t xml:space="preserve">その他（公募）                          </t>
    <phoneticPr fontId="3"/>
  </si>
  <si>
    <t xml:space="preserve">その他（非公募）                        </t>
    <phoneticPr fontId="3"/>
  </si>
  <si>
    <t>短期社債振替制度</t>
    <phoneticPr fontId="3"/>
  </si>
  <si>
    <t>CP</t>
    <phoneticPr fontId="3"/>
  </si>
  <si>
    <t>投資信託振替制度</t>
    <phoneticPr fontId="3"/>
  </si>
  <si>
    <t>投資信託（公募）</t>
    <phoneticPr fontId="3"/>
  </si>
  <si>
    <t>投資信託（私募）</t>
    <phoneticPr fontId="3"/>
  </si>
  <si>
    <t>N/A</t>
    <phoneticPr fontId="3"/>
  </si>
  <si>
    <t>注1　株式等振替制度及び外国株券等保管振替決済制度における「口座残高（時価総額）」は、「基準日時点における各銘柄の口座残高（株数/口数）」に「同日における各銘柄の終値（終値が付かなかった場合には、直近の終値とする）」を乗じて算出した数値を合計したものである。</t>
    <phoneticPr fontId="3"/>
  </si>
  <si>
    <t>　　　する場合がある。</t>
    <phoneticPr fontId="3"/>
  </si>
  <si>
    <t>注2　　参考：2017年9月末時点の契約型私募投信の銘柄数及び純資産残高（投資信託協会公表）5,318銘柄、80,307,587百万円</t>
    <phoneticPr fontId="3"/>
  </si>
  <si>
    <t>全制度口座残高一覧（2017年10月末時点）</t>
    <phoneticPr fontId="3"/>
  </si>
  <si>
    <t>【口座残高（時価総額）】</t>
    <phoneticPr fontId="3"/>
  </si>
  <si>
    <t>制　　度</t>
    <phoneticPr fontId="3"/>
  </si>
  <si>
    <t>証券種類</t>
    <phoneticPr fontId="3"/>
  </si>
  <si>
    <t>銘　柄　数</t>
    <phoneticPr fontId="3"/>
  </si>
  <si>
    <t>合　　計</t>
    <phoneticPr fontId="3"/>
  </si>
  <si>
    <t>証券</t>
    <phoneticPr fontId="3"/>
  </si>
  <si>
    <t>銀行</t>
    <phoneticPr fontId="3"/>
  </si>
  <si>
    <t>信託銀行</t>
    <phoneticPr fontId="3"/>
  </si>
  <si>
    <t>そ　の　他</t>
    <phoneticPr fontId="3"/>
  </si>
  <si>
    <t>（百万円）</t>
    <phoneticPr fontId="3"/>
  </si>
  <si>
    <t>株式等振替制度</t>
    <phoneticPr fontId="3"/>
  </si>
  <si>
    <t>株式</t>
    <phoneticPr fontId="3"/>
  </si>
  <si>
    <t>新株予約権付社債</t>
    <phoneticPr fontId="3"/>
  </si>
  <si>
    <t>新株予約権</t>
    <phoneticPr fontId="3"/>
  </si>
  <si>
    <t>優先出資</t>
    <phoneticPr fontId="3"/>
  </si>
  <si>
    <t>投資口</t>
    <phoneticPr fontId="3"/>
  </si>
  <si>
    <t>投資信託受益権（ETF）</t>
    <phoneticPr fontId="3"/>
  </si>
  <si>
    <t>受益証券発行信託の受益権</t>
    <phoneticPr fontId="3"/>
  </si>
  <si>
    <t>外国株券等保管振替決済制度</t>
    <phoneticPr fontId="3"/>
  </si>
  <si>
    <t>外国株券等</t>
    <phoneticPr fontId="3"/>
  </si>
  <si>
    <t>一般債振替制度</t>
    <phoneticPr fontId="3"/>
  </si>
  <si>
    <t xml:space="preserve">地方債（公募）                        </t>
    <phoneticPr fontId="3"/>
  </si>
  <si>
    <t xml:space="preserve">地方債（非公募）                        </t>
    <phoneticPr fontId="3"/>
  </si>
  <si>
    <t xml:space="preserve">政府保証債（公募）                      </t>
    <phoneticPr fontId="3"/>
  </si>
  <si>
    <t xml:space="preserve">財投機関債等(公募)                           </t>
    <phoneticPr fontId="3"/>
  </si>
  <si>
    <t xml:space="preserve">非公募特別債                            </t>
    <phoneticPr fontId="3"/>
  </si>
  <si>
    <t xml:space="preserve">地方公社債（公募）                      </t>
    <phoneticPr fontId="3"/>
  </si>
  <si>
    <t xml:space="preserve">地方公社債（非公募）                    </t>
    <phoneticPr fontId="3"/>
  </si>
  <si>
    <t xml:space="preserve">金融債（割引）                          </t>
    <phoneticPr fontId="3"/>
  </si>
  <si>
    <t xml:space="preserve">金融債（利付）                          </t>
    <phoneticPr fontId="3"/>
  </si>
  <si>
    <t xml:space="preserve">社債（公募）                            </t>
    <phoneticPr fontId="3"/>
  </si>
  <si>
    <t xml:space="preserve">社債（公募）うち一般担保付                         </t>
    <phoneticPr fontId="3"/>
  </si>
  <si>
    <t xml:space="preserve">社債（非公募）                          </t>
    <phoneticPr fontId="3"/>
  </si>
  <si>
    <t xml:space="preserve">社債（非公募）うち一般担保付                      </t>
    <phoneticPr fontId="3"/>
  </si>
  <si>
    <t xml:space="preserve">資産担保型社債（公募）                  </t>
    <phoneticPr fontId="3"/>
  </si>
  <si>
    <t xml:space="preserve">資産担保型社債（非公募）                </t>
    <phoneticPr fontId="3"/>
  </si>
  <si>
    <t xml:space="preserve">円建外債（公募）                        </t>
    <phoneticPr fontId="3"/>
  </si>
  <si>
    <t xml:space="preserve">円建外債（非公募）                      </t>
    <phoneticPr fontId="3"/>
  </si>
  <si>
    <t xml:space="preserve">資産担保型社債（非居住者分）（公募）    </t>
    <phoneticPr fontId="3"/>
  </si>
  <si>
    <t xml:space="preserve">資産担保型社債（非居住者分）（非公募）  </t>
    <phoneticPr fontId="3"/>
  </si>
  <si>
    <t xml:space="preserve">その他（公募）                          </t>
    <phoneticPr fontId="3"/>
  </si>
  <si>
    <t xml:space="preserve">その他（非公募）                        </t>
    <phoneticPr fontId="3"/>
  </si>
  <si>
    <t>短期社債振替制度</t>
    <phoneticPr fontId="3"/>
  </si>
  <si>
    <t>CP</t>
    <phoneticPr fontId="3"/>
  </si>
  <si>
    <t>投資信託振替制度</t>
    <phoneticPr fontId="3"/>
  </si>
  <si>
    <t>投資信託（公募）</t>
    <phoneticPr fontId="3"/>
  </si>
  <si>
    <t>投資信託（私募）</t>
    <phoneticPr fontId="3"/>
  </si>
  <si>
    <t>N/A</t>
    <phoneticPr fontId="3"/>
  </si>
  <si>
    <t>注1　株式等振替制度及び外国株券等保管振替決済制度における「口座残高（時価総額）」は、「基準日時点における各銘柄の口座残高（株数/口数）」に「同日における各銘柄の終値（終値が付かなかった場合には、直近の終値とする）」を乗じて算出した数値を合計したものである。</t>
    <phoneticPr fontId="3"/>
  </si>
  <si>
    <t>　　　する場合がある。</t>
    <phoneticPr fontId="3"/>
  </si>
  <si>
    <t>注2　参考：2017年10月末時点の契約型私募投信の銘柄数及び純資産残高（投資信託協会公表）5,393銘柄、82,185,681百万円</t>
    <phoneticPr fontId="3"/>
  </si>
  <si>
    <t>全制度口座残高一覧（2017年11月末時点）</t>
    <phoneticPr fontId="3"/>
  </si>
  <si>
    <t>【口座残高（時価総額）】</t>
    <phoneticPr fontId="3"/>
  </si>
  <si>
    <t>制　　度</t>
    <phoneticPr fontId="3"/>
  </si>
  <si>
    <t>証券種類</t>
    <phoneticPr fontId="3"/>
  </si>
  <si>
    <t>銘　柄　数</t>
    <phoneticPr fontId="3"/>
  </si>
  <si>
    <t>合　　計</t>
    <phoneticPr fontId="3"/>
  </si>
  <si>
    <t>証券</t>
    <phoneticPr fontId="3"/>
  </si>
  <si>
    <t>銀行</t>
    <phoneticPr fontId="3"/>
  </si>
  <si>
    <t>信託銀行</t>
    <phoneticPr fontId="3"/>
  </si>
  <si>
    <t>そ　の　他</t>
    <phoneticPr fontId="3"/>
  </si>
  <si>
    <t>（百万円）</t>
    <phoneticPr fontId="3"/>
  </si>
  <si>
    <t>株式等振替制度</t>
    <phoneticPr fontId="3"/>
  </si>
  <si>
    <t>株式</t>
    <phoneticPr fontId="3"/>
  </si>
  <si>
    <t>新株予約権付社債</t>
    <phoneticPr fontId="3"/>
  </si>
  <si>
    <t>新株予約権</t>
    <phoneticPr fontId="3"/>
  </si>
  <si>
    <t>優先出資</t>
    <phoneticPr fontId="3"/>
  </si>
  <si>
    <t>投資口</t>
    <phoneticPr fontId="3"/>
  </si>
  <si>
    <t>投資信託受益権（ETF）</t>
    <phoneticPr fontId="3"/>
  </si>
  <si>
    <t>受益証券発行信託の受益権</t>
    <phoneticPr fontId="3"/>
  </si>
  <si>
    <t>外国株券等保管振替決済制度</t>
    <phoneticPr fontId="3"/>
  </si>
  <si>
    <t>外国株券等</t>
    <phoneticPr fontId="3"/>
  </si>
  <si>
    <t>一般債振替制度</t>
    <phoneticPr fontId="3"/>
  </si>
  <si>
    <t xml:space="preserve">地方債（公募）                        </t>
    <phoneticPr fontId="3"/>
  </si>
  <si>
    <t xml:space="preserve">地方債（非公募）                        </t>
    <phoneticPr fontId="3"/>
  </si>
  <si>
    <t xml:space="preserve">政府保証債（公募）                      </t>
    <phoneticPr fontId="3"/>
  </si>
  <si>
    <t xml:space="preserve">財投機関債等(公募)                           </t>
    <phoneticPr fontId="3"/>
  </si>
  <si>
    <t xml:space="preserve">非公募特別債                            </t>
    <phoneticPr fontId="3"/>
  </si>
  <si>
    <t xml:space="preserve">地方公社債（公募）                      </t>
    <phoneticPr fontId="3"/>
  </si>
  <si>
    <t xml:space="preserve">地方公社債（非公募）                    </t>
    <phoneticPr fontId="3"/>
  </si>
  <si>
    <t xml:space="preserve">金融債（割引）                          </t>
    <phoneticPr fontId="3"/>
  </si>
  <si>
    <t xml:space="preserve">金融債（利付）                          </t>
    <phoneticPr fontId="3"/>
  </si>
  <si>
    <t xml:space="preserve">社債（公募）                            </t>
    <phoneticPr fontId="3"/>
  </si>
  <si>
    <t xml:space="preserve">社債（公募）うち一般担保付                         </t>
    <phoneticPr fontId="3"/>
  </si>
  <si>
    <t xml:space="preserve">社債（非公募）                          </t>
    <phoneticPr fontId="3"/>
  </si>
  <si>
    <t xml:space="preserve">社債（非公募）うち一般担保付                      </t>
    <phoneticPr fontId="3"/>
  </si>
  <si>
    <t xml:space="preserve">資産担保型社債（公募）                  </t>
    <phoneticPr fontId="3"/>
  </si>
  <si>
    <t xml:space="preserve">資産担保型社債（非公募）                </t>
    <phoneticPr fontId="3"/>
  </si>
  <si>
    <t xml:space="preserve">円建外債（公募）                        </t>
    <phoneticPr fontId="3"/>
  </si>
  <si>
    <t xml:space="preserve">円建外債（非公募）                      </t>
    <phoneticPr fontId="3"/>
  </si>
  <si>
    <t xml:space="preserve">資産担保型社債（非居住者分）（公募）    </t>
    <phoneticPr fontId="3"/>
  </si>
  <si>
    <t xml:space="preserve">資産担保型社債（非居住者分）（非公募）  </t>
    <phoneticPr fontId="3"/>
  </si>
  <si>
    <t xml:space="preserve">その他（公募）                          </t>
    <phoneticPr fontId="3"/>
  </si>
  <si>
    <t xml:space="preserve">その他（非公募）                        </t>
    <phoneticPr fontId="3"/>
  </si>
  <si>
    <t>短期社債振替制度</t>
    <phoneticPr fontId="3"/>
  </si>
  <si>
    <t>CP</t>
    <phoneticPr fontId="3"/>
  </si>
  <si>
    <t>投資信託振替制度</t>
    <phoneticPr fontId="3"/>
  </si>
  <si>
    <t>投資信託（公募）</t>
    <phoneticPr fontId="3"/>
  </si>
  <si>
    <t>投資信託（私募）</t>
    <phoneticPr fontId="3"/>
  </si>
  <si>
    <t>N/A</t>
    <phoneticPr fontId="3"/>
  </si>
  <si>
    <t>注1　株式等振替制度及び外国株券等保管振替決済制度における「口座残高（時価総額）」は、「基準日時点における各銘柄の口座残高（株数/口数）」に「同日における各銘柄の終値（終値が付かなかった場合には、直近の終値とする）」を乗じて算出した数値を合計したものである。</t>
    <phoneticPr fontId="3"/>
  </si>
  <si>
    <t>　　　する場合がある。</t>
    <phoneticPr fontId="3"/>
  </si>
  <si>
    <t>注2　参考：2017年11月末時点の契約型私募投信の銘柄数及び純資産残高（投資信託協会公表）5,438銘柄、84,131,257百万円</t>
    <phoneticPr fontId="3"/>
  </si>
  <si>
    <t>全制度口座残高一覧（2017年12月末時点）</t>
    <phoneticPr fontId="3"/>
  </si>
  <si>
    <t>【口座残高（時価総額）】</t>
    <phoneticPr fontId="3"/>
  </si>
  <si>
    <t>制　　度</t>
    <phoneticPr fontId="3"/>
  </si>
  <si>
    <t>証券種類</t>
    <phoneticPr fontId="3"/>
  </si>
  <si>
    <t>銘　柄　数</t>
    <phoneticPr fontId="3"/>
  </si>
  <si>
    <t>合　　計</t>
    <phoneticPr fontId="3"/>
  </si>
  <si>
    <t>証券</t>
    <phoneticPr fontId="3"/>
  </si>
  <si>
    <t>銀行</t>
    <phoneticPr fontId="3"/>
  </si>
  <si>
    <t>信託銀行</t>
    <phoneticPr fontId="3"/>
  </si>
  <si>
    <t>そ　の　他</t>
    <phoneticPr fontId="3"/>
  </si>
  <si>
    <t>（百万円）</t>
    <phoneticPr fontId="3"/>
  </si>
  <si>
    <t>株式等振替制度</t>
    <phoneticPr fontId="3"/>
  </si>
  <si>
    <t>株式</t>
    <phoneticPr fontId="3"/>
  </si>
  <si>
    <t>新株予約権付社債</t>
    <phoneticPr fontId="3"/>
  </si>
  <si>
    <t>新株予約権</t>
    <phoneticPr fontId="3"/>
  </si>
  <si>
    <t>優先出資</t>
    <phoneticPr fontId="3"/>
  </si>
  <si>
    <t>投資口</t>
    <phoneticPr fontId="3"/>
  </si>
  <si>
    <t>投資信託受益権（ETF）</t>
    <phoneticPr fontId="3"/>
  </si>
  <si>
    <t>受益証券発行信託の受益権</t>
    <phoneticPr fontId="3"/>
  </si>
  <si>
    <t>外国株券等保管振替決済制度</t>
    <phoneticPr fontId="3"/>
  </si>
  <si>
    <t>外国株券等</t>
    <phoneticPr fontId="3"/>
  </si>
  <si>
    <t>一般債振替制度</t>
    <phoneticPr fontId="3"/>
  </si>
  <si>
    <t xml:space="preserve">地方債（公募）                        </t>
    <phoneticPr fontId="3"/>
  </si>
  <si>
    <t xml:space="preserve">地方債（非公募）                        </t>
    <phoneticPr fontId="3"/>
  </si>
  <si>
    <t xml:space="preserve">政府保証債（公募）                      </t>
    <phoneticPr fontId="3"/>
  </si>
  <si>
    <t xml:space="preserve">財投機関債等(公募)                           </t>
    <phoneticPr fontId="3"/>
  </si>
  <si>
    <t xml:space="preserve">非公募特別債                            </t>
    <phoneticPr fontId="3"/>
  </si>
  <si>
    <t xml:space="preserve">地方公社債（公募）                      </t>
    <phoneticPr fontId="3"/>
  </si>
  <si>
    <t xml:space="preserve">地方公社債（非公募）                    </t>
    <phoneticPr fontId="3"/>
  </si>
  <si>
    <t xml:space="preserve">金融債（割引）                          </t>
    <phoneticPr fontId="3"/>
  </si>
  <si>
    <t xml:space="preserve">金融債（利付）                          </t>
    <phoneticPr fontId="3"/>
  </si>
  <si>
    <t xml:space="preserve">社債（公募）                            </t>
    <phoneticPr fontId="3"/>
  </si>
  <si>
    <t xml:space="preserve">社債（公募）うち一般担保付                         </t>
    <phoneticPr fontId="3"/>
  </si>
  <si>
    <t xml:space="preserve">社債（非公募）                          </t>
    <phoneticPr fontId="3"/>
  </si>
  <si>
    <t xml:space="preserve">社債（非公募）うち一般担保付                      </t>
    <phoneticPr fontId="3"/>
  </si>
  <si>
    <t xml:space="preserve">資産担保型社債（公募）                  </t>
    <phoneticPr fontId="3"/>
  </si>
  <si>
    <t xml:space="preserve">資産担保型社債（非公募）                </t>
    <phoneticPr fontId="3"/>
  </si>
  <si>
    <t xml:space="preserve">円建外債（公募）                        </t>
    <phoneticPr fontId="3"/>
  </si>
  <si>
    <t xml:space="preserve">円建外債（非公募）                      </t>
    <phoneticPr fontId="3"/>
  </si>
  <si>
    <t xml:space="preserve">資産担保型社債（非居住者分）（公募）    </t>
    <phoneticPr fontId="3"/>
  </si>
  <si>
    <t xml:space="preserve">資産担保型社債（非居住者分）（非公募）  </t>
    <phoneticPr fontId="3"/>
  </si>
  <si>
    <t xml:space="preserve">その他（公募）                          </t>
    <phoneticPr fontId="3"/>
  </si>
  <si>
    <t xml:space="preserve">その他（非公募）                        </t>
    <phoneticPr fontId="3"/>
  </si>
  <si>
    <t>短期社債振替制度</t>
    <phoneticPr fontId="3"/>
  </si>
  <si>
    <t>CP</t>
    <phoneticPr fontId="3"/>
  </si>
  <si>
    <t>投資信託振替制度</t>
    <phoneticPr fontId="3"/>
  </si>
  <si>
    <t>投資信託（公募）</t>
    <phoneticPr fontId="3"/>
  </si>
  <si>
    <t>投資信託（私募）</t>
    <phoneticPr fontId="3"/>
  </si>
  <si>
    <t>N/A</t>
    <phoneticPr fontId="3"/>
  </si>
  <si>
    <t>注1　株式等振替制度及び外国株券等保管振替決済制度における「口座残高（時価総額）」は、「基準日時点における各銘柄の口座残高（株数/口数）」に「同日における各銘柄の終値（終値が付かなかった場合には、直近の終値とする）」を乗じて算出した数値を合計したものである。</t>
    <phoneticPr fontId="3"/>
  </si>
  <si>
    <t>　　　する場合がある。</t>
    <phoneticPr fontId="3"/>
  </si>
  <si>
    <t>注2　参考：2017年12月末時点の契約型私募投信の銘柄数及び純資産残高（投資信託協会公表）5,483銘柄、85,560,681百万円</t>
    <phoneticPr fontId="3"/>
  </si>
  <si>
    <t>全制度口座残高一覧（2018年1月末時点）</t>
    <phoneticPr fontId="3"/>
  </si>
  <si>
    <t>【口座残高（時価総額）】</t>
    <phoneticPr fontId="3"/>
  </si>
  <si>
    <t>制　　度</t>
    <phoneticPr fontId="3"/>
  </si>
  <si>
    <t>証券種類</t>
    <phoneticPr fontId="3"/>
  </si>
  <si>
    <t>銘　柄　数</t>
    <phoneticPr fontId="3"/>
  </si>
  <si>
    <t>合　　計</t>
    <phoneticPr fontId="3"/>
  </si>
  <si>
    <t>証券</t>
    <phoneticPr fontId="3"/>
  </si>
  <si>
    <t>銀行</t>
    <phoneticPr fontId="3"/>
  </si>
  <si>
    <t>信託銀行</t>
    <phoneticPr fontId="3"/>
  </si>
  <si>
    <t>そ　の　他</t>
    <phoneticPr fontId="3"/>
  </si>
  <si>
    <t>（百万円）</t>
    <phoneticPr fontId="3"/>
  </si>
  <si>
    <t>株式等振替制度</t>
    <phoneticPr fontId="3"/>
  </si>
  <si>
    <t>株式</t>
    <phoneticPr fontId="3"/>
  </si>
  <si>
    <t>新株予約権付社債</t>
    <phoneticPr fontId="3"/>
  </si>
  <si>
    <t>新株予約権</t>
    <phoneticPr fontId="3"/>
  </si>
  <si>
    <t>優先出資</t>
    <phoneticPr fontId="3"/>
  </si>
  <si>
    <t>投資口</t>
    <phoneticPr fontId="3"/>
  </si>
  <si>
    <t>投資信託受益権（ETF）</t>
    <phoneticPr fontId="3"/>
  </si>
  <si>
    <t>受益証券発行信託の受益権</t>
    <phoneticPr fontId="3"/>
  </si>
  <si>
    <t>外国株券等保管振替決済制度</t>
    <phoneticPr fontId="3"/>
  </si>
  <si>
    <t>外国株券等</t>
    <phoneticPr fontId="3"/>
  </si>
  <si>
    <t>一般債振替制度</t>
    <phoneticPr fontId="3"/>
  </si>
  <si>
    <t xml:space="preserve">地方債（公募）                        </t>
    <phoneticPr fontId="3"/>
  </si>
  <si>
    <t xml:space="preserve">地方債（非公募）                        </t>
    <phoneticPr fontId="3"/>
  </si>
  <si>
    <t xml:space="preserve">政府保証債（公募）                      </t>
    <phoneticPr fontId="3"/>
  </si>
  <si>
    <t xml:space="preserve">財投機関債等(公募)                           </t>
    <phoneticPr fontId="3"/>
  </si>
  <si>
    <t xml:space="preserve">非公募特別債                            </t>
    <phoneticPr fontId="3"/>
  </si>
  <si>
    <t xml:space="preserve">地方公社債（公募）                      </t>
    <phoneticPr fontId="3"/>
  </si>
  <si>
    <t xml:space="preserve">地方公社債（非公募）                    </t>
    <phoneticPr fontId="3"/>
  </si>
  <si>
    <t xml:space="preserve">金融債（割引）                          </t>
    <phoneticPr fontId="3"/>
  </si>
  <si>
    <t xml:space="preserve">金融債（利付）                          </t>
    <phoneticPr fontId="3"/>
  </si>
  <si>
    <t xml:space="preserve">社債（公募）                            </t>
    <phoneticPr fontId="3"/>
  </si>
  <si>
    <t xml:space="preserve">社債（公募）うち一般担保付                         </t>
    <phoneticPr fontId="3"/>
  </si>
  <si>
    <t xml:space="preserve">社債（非公募）                          </t>
    <phoneticPr fontId="3"/>
  </si>
  <si>
    <t xml:space="preserve">社債（非公募）うち一般担保付                      </t>
    <phoneticPr fontId="3"/>
  </si>
  <si>
    <t xml:space="preserve">資産担保型社債（公募）                  </t>
    <phoneticPr fontId="3"/>
  </si>
  <si>
    <t xml:space="preserve">資産担保型社債（非公募）                </t>
    <phoneticPr fontId="3"/>
  </si>
  <si>
    <t xml:space="preserve">円建外債（公募）                        </t>
    <phoneticPr fontId="3"/>
  </si>
  <si>
    <t xml:space="preserve">円建外債（非公募）                      </t>
    <phoneticPr fontId="3"/>
  </si>
  <si>
    <t xml:space="preserve">資産担保型社債（非居住者分）（公募）    </t>
    <phoneticPr fontId="3"/>
  </si>
  <si>
    <t xml:space="preserve">資産担保型社債（非居住者分）（非公募）  </t>
    <phoneticPr fontId="3"/>
  </si>
  <si>
    <t xml:space="preserve">その他（公募）                          </t>
    <phoneticPr fontId="3"/>
  </si>
  <si>
    <t xml:space="preserve">その他（非公募）                        </t>
    <phoneticPr fontId="3"/>
  </si>
  <si>
    <t>短期社債振替制度</t>
    <phoneticPr fontId="3"/>
  </si>
  <si>
    <t>CP</t>
    <phoneticPr fontId="3"/>
  </si>
  <si>
    <t>投資信託振替制度</t>
    <phoneticPr fontId="3"/>
  </si>
  <si>
    <t>投資信託（公募）</t>
    <phoneticPr fontId="3"/>
  </si>
  <si>
    <t>投資信託（私募）</t>
    <phoneticPr fontId="3"/>
  </si>
  <si>
    <t>N/A</t>
    <phoneticPr fontId="3"/>
  </si>
  <si>
    <t>注1　株式等振替制度及び外国株券等保管振替決済制度における「口座残高（時価総額）」は、「基準日時点における各銘柄の口座残高（株数/口数）」に「同日における各銘柄の終値（終値が付かなかった場合には、直近の終値とする）」を乗じて算出した数値を合計したものである。</t>
    <phoneticPr fontId="3"/>
  </si>
  <si>
    <t>　　　する場合がある。</t>
    <phoneticPr fontId="3"/>
  </si>
  <si>
    <t>注2　参考：2018年1月末時点の契約型私募投信の銘柄数及び純資産残高（投資信託協会公表）5,547銘柄、86,731,110百万円</t>
    <phoneticPr fontId="3"/>
  </si>
  <si>
    <t>全制度口座残高一覧（2018年2月末時点）</t>
    <phoneticPr fontId="3"/>
  </si>
  <si>
    <t>【口座残高（時価総額）】</t>
    <phoneticPr fontId="3"/>
  </si>
  <si>
    <t>制　　度</t>
    <phoneticPr fontId="3"/>
  </si>
  <si>
    <t>証券種類</t>
    <phoneticPr fontId="3"/>
  </si>
  <si>
    <t>銘　柄　数</t>
    <phoneticPr fontId="3"/>
  </si>
  <si>
    <t>合　　計</t>
    <phoneticPr fontId="3"/>
  </si>
  <si>
    <t>証券</t>
    <phoneticPr fontId="3"/>
  </si>
  <si>
    <t>銀行</t>
    <phoneticPr fontId="3"/>
  </si>
  <si>
    <t>信託銀行</t>
    <phoneticPr fontId="3"/>
  </si>
  <si>
    <t>そ　の　他</t>
    <phoneticPr fontId="3"/>
  </si>
  <si>
    <t>（百万円）</t>
    <phoneticPr fontId="3"/>
  </si>
  <si>
    <t>株式等振替制度</t>
    <phoneticPr fontId="3"/>
  </si>
  <si>
    <t>株式</t>
    <phoneticPr fontId="3"/>
  </si>
  <si>
    <t>新株予約権付社債</t>
    <phoneticPr fontId="3"/>
  </si>
  <si>
    <t>新株予約権</t>
    <phoneticPr fontId="3"/>
  </si>
  <si>
    <t>優先出資</t>
    <phoneticPr fontId="3"/>
  </si>
  <si>
    <t>投資口</t>
    <phoneticPr fontId="3"/>
  </si>
  <si>
    <t>投資信託受益権（ETF）</t>
    <phoneticPr fontId="3"/>
  </si>
  <si>
    <t>受益証券発行信託の受益権</t>
    <phoneticPr fontId="3"/>
  </si>
  <si>
    <t>外国株券等保管振替決済制度</t>
    <phoneticPr fontId="3"/>
  </si>
  <si>
    <t>外国株券等</t>
    <phoneticPr fontId="3"/>
  </si>
  <si>
    <t>一般債振替制度</t>
    <phoneticPr fontId="3"/>
  </si>
  <si>
    <t xml:space="preserve">地方債（公募）                        </t>
    <phoneticPr fontId="3"/>
  </si>
  <si>
    <t xml:space="preserve">地方債（非公募）                        </t>
    <phoneticPr fontId="3"/>
  </si>
  <si>
    <t xml:space="preserve">政府保証債（公募）                      </t>
    <phoneticPr fontId="3"/>
  </si>
  <si>
    <t xml:space="preserve">財投機関債等(公募)                           </t>
    <phoneticPr fontId="3"/>
  </si>
  <si>
    <t xml:space="preserve">非公募特別債                            </t>
    <phoneticPr fontId="3"/>
  </si>
  <si>
    <t xml:space="preserve">地方公社債（公募）                      </t>
    <phoneticPr fontId="3"/>
  </si>
  <si>
    <t xml:space="preserve">地方公社債（非公募）                    </t>
    <phoneticPr fontId="3"/>
  </si>
  <si>
    <t xml:space="preserve">金融債（割引）                          </t>
    <phoneticPr fontId="3"/>
  </si>
  <si>
    <t xml:space="preserve">金融債（利付）                          </t>
    <phoneticPr fontId="3"/>
  </si>
  <si>
    <t xml:space="preserve">社債（公募）                            </t>
    <phoneticPr fontId="3"/>
  </si>
  <si>
    <t xml:space="preserve">社債（公募）うち一般担保付                         </t>
    <phoneticPr fontId="3"/>
  </si>
  <si>
    <t xml:space="preserve">社債（非公募）                          </t>
    <phoneticPr fontId="3"/>
  </si>
  <si>
    <t xml:space="preserve">社債（非公募）うち一般担保付                      </t>
    <phoneticPr fontId="3"/>
  </si>
  <si>
    <t xml:space="preserve">資産担保型社債（公募）                  </t>
    <phoneticPr fontId="3"/>
  </si>
  <si>
    <t xml:space="preserve">資産担保型社債（非公募）                </t>
    <phoneticPr fontId="3"/>
  </si>
  <si>
    <t xml:space="preserve">円建外債（公募）                        </t>
    <phoneticPr fontId="3"/>
  </si>
  <si>
    <t xml:space="preserve">円建外債（非公募）                      </t>
    <phoneticPr fontId="3"/>
  </si>
  <si>
    <t xml:space="preserve">資産担保型社債（非居住者分）（公募）    </t>
    <phoneticPr fontId="3"/>
  </si>
  <si>
    <t xml:space="preserve">資産担保型社債（非居住者分）（非公募）  </t>
    <phoneticPr fontId="3"/>
  </si>
  <si>
    <t xml:space="preserve">その他（公募）                          </t>
    <phoneticPr fontId="3"/>
  </si>
  <si>
    <t xml:space="preserve">その他（非公募）                        </t>
    <phoneticPr fontId="3"/>
  </si>
  <si>
    <t>短期社債振替制度</t>
    <phoneticPr fontId="3"/>
  </si>
  <si>
    <t>CP</t>
    <phoneticPr fontId="3"/>
  </si>
  <si>
    <t>投資信託振替制度</t>
    <phoneticPr fontId="3"/>
  </si>
  <si>
    <t>投資信託（公募）</t>
    <phoneticPr fontId="3"/>
  </si>
  <si>
    <t>投資信託（私募）</t>
    <phoneticPr fontId="3"/>
  </si>
  <si>
    <t>N/A</t>
    <phoneticPr fontId="3"/>
  </si>
  <si>
    <t>注1　株式等振替制度及び外国株券等保管振替決済制度における「口座残高（時価総額）」は、「基準日時点における各銘柄の口座残高（株数/口数）」に「同日における各銘柄の終値（終値が付かなかった場合には、直近の終値とする）」を乗じて算出した数値を合計したものである。</t>
    <phoneticPr fontId="3"/>
  </si>
  <si>
    <t>　　　する場合がある。</t>
    <phoneticPr fontId="3"/>
  </si>
  <si>
    <t>注2　参考：2018年2月末時点の契約型私募投信の銘柄数及び純資産残高（投資信託協会公表）5,593銘柄、87,308,454百万円</t>
    <phoneticPr fontId="3"/>
  </si>
  <si>
    <t>全制度口座残高一覧（2018年3月末時点）</t>
    <phoneticPr fontId="3"/>
  </si>
  <si>
    <t>【口座残高（時価総額）】</t>
    <phoneticPr fontId="3"/>
  </si>
  <si>
    <t>制　　度</t>
    <phoneticPr fontId="3"/>
  </si>
  <si>
    <t>証券種類</t>
    <phoneticPr fontId="3"/>
  </si>
  <si>
    <t>銘　柄　数</t>
    <phoneticPr fontId="3"/>
  </si>
  <si>
    <t>合　　計</t>
    <phoneticPr fontId="3"/>
  </si>
  <si>
    <t>証券</t>
    <phoneticPr fontId="3"/>
  </si>
  <si>
    <t>銀行</t>
    <phoneticPr fontId="3"/>
  </si>
  <si>
    <t>信託銀行</t>
    <phoneticPr fontId="3"/>
  </si>
  <si>
    <t>そ　の　他</t>
    <phoneticPr fontId="3"/>
  </si>
  <si>
    <t>（百万円）</t>
    <phoneticPr fontId="3"/>
  </si>
  <si>
    <t>株式等振替制度</t>
    <phoneticPr fontId="3"/>
  </si>
  <si>
    <t>株式</t>
    <phoneticPr fontId="3"/>
  </si>
  <si>
    <t>新株予約権付社債</t>
    <phoneticPr fontId="3"/>
  </si>
  <si>
    <t>新株予約権</t>
    <phoneticPr fontId="3"/>
  </si>
  <si>
    <t>優先出資</t>
    <phoneticPr fontId="3"/>
  </si>
  <si>
    <t>投資口</t>
    <phoneticPr fontId="3"/>
  </si>
  <si>
    <t>投資信託受益権（ETF）</t>
    <phoneticPr fontId="3"/>
  </si>
  <si>
    <t>受益証券発行信託の受益権</t>
    <phoneticPr fontId="3"/>
  </si>
  <si>
    <t>外国株券等保管振替決済制度</t>
    <phoneticPr fontId="3"/>
  </si>
  <si>
    <t>外国株券等</t>
    <phoneticPr fontId="3"/>
  </si>
  <si>
    <t>一般債振替制度</t>
    <phoneticPr fontId="3"/>
  </si>
  <si>
    <t xml:space="preserve">地方債（公募）                        </t>
    <phoneticPr fontId="3"/>
  </si>
  <si>
    <t xml:space="preserve">地方債（非公募）                        </t>
    <phoneticPr fontId="3"/>
  </si>
  <si>
    <t xml:space="preserve">政府保証債（公募）                      </t>
    <phoneticPr fontId="3"/>
  </si>
  <si>
    <t xml:space="preserve">財投機関債等(公募)                           </t>
    <phoneticPr fontId="3"/>
  </si>
  <si>
    <t xml:space="preserve">非公募特別債                            </t>
    <phoneticPr fontId="3"/>
  </si>
  <si>
    <t xml:space="preserve">地方公社債（公募）                      </t>
    <phoneticPr fontId="3"/>
  </si>
  <si>
    <t xml:space="preserve">地方公社債（非公募）                    </t>
    <phoneticPr fontId="3"/>
  </si>
  <si>
    <t xml:space="preserve">金融債（割引）                          </t>
    <phoneticPr fontId="3"/>
  </si>
  <si>
    <t xml:space="preserve">金融債（利付）                          </t>
    <phoneticPr fontId="3"/>
  </si>
  <si>
    <t xml:space="preserve">社債（公募）                            </t>
    <phoneticPr fontId="3"/>
  </si>
  <si>
    <t xml:space="preserve">社債（公募）うち一般担保付                         </t>
    <phoneticPr fontId="3"/>
  </si>
  <si>
    <t xml:space="preserve">社債（非公募）                          </t>
    <phoneticPr fontId="3"/>
  </si>
  <si>
    <t xml:space="preserve">社債（非公募）うち一般担保付                      </t>
    <phoneticPr fontId="3"/>
  </si>
  <si>
    <t xml:space="preserve">資産担保型社債（公募）                  </t>
    <phoneticPr fontId="3"/>
  </si>
  <si>
    <t xml:space="preserve">資産担保型社債（非公募）                </t>
    <phoneticPr fontId="3"/>
  </si>
  <si>
    <t xml:space="preserve">円建外債（公募）                        </t>
    <phoneticPr fontId="3"/>
  </si>
  <si>
    <t xml:space="preserve">円建外債（非公募）                      </t>
    <phoneticPr fontId="3"/>
  </si>
  <si>
    <t xml:space="preserve">資産担保型社債（非居住者分）（公募）    </t>
    <phoneticPr fontId="3"/>
  </si>
  <si>
    <t xml:space="preserve">資産担保型社債（非居住者分）（非公募）  </t>
    <phoneticPr fontId="3"/>
  </si>
  <si>
    <t xml:space="preserve">その他（公募）                          </t>
    <phoneticPr fontId="3"/>
  </si>
  <si>
    <t xml:space="preserve">その他（非公募）                        </t>
    <phoneticPr fontId="3"/>
  </si>
  <si>
    <t>短期社債振替制度</t>
    <phoneticPr fontId="3"/>
  </si>
  <si>
    <t>CP</t>
    <phoneticPr fontId="3"/>
  </si>
  <si>
    <t>投資信託振替制度</t>
    <phoneticPr fontId="3"/>
  </si>
  <si>
    <t>投資信託（公募）</t>
    <phoneticPr fontId="3"/>
  </si>
  <si>
    <t>投資信託（私募）</t>
    <phoneticPr fontId="3"/>
  </si>
  <si>
    <t>N/A</t>
    <phoneticPr fontId="3"/>
  </si>
  <si>
    <t>注1　株式等振替制度及び外国株券等保管振替決済制度における「口座残高（時価総額）」は、「基準日時点における各銘柄の口座残高（株数/口数）」に「同日における各銘柄の終値（終値が付かなかった場合には、直近の終値とする）」を乗じて算出した数値を合計したものである。</t>
    <phoneticPr fontId="3"/>
  </si>
  <si>
    <t>　　　する場合がある。</t>
    <phoneticPr fontId="3"/>
  </si>
  <si>
    <t>注2　参考：2018年3月末時点の契約型私募投信の銘柄数及び純資産残高（投資信託協会公表）5,643銘柄、88,157,965百万円</t>
    <phoneticPr fontId="3"/>
  </si>
  <si>
    <t>全制度口座残高一覧（2018年4月末時点）</t>
    <phoneticPr fontId="3"/>
  </si>
  <si>
    <t>【口座残高（時価総額）】</t>
    <phoneticPr fontId="3"/>
  </si>
  <si>
    <t>制　　度</t>
    <phoneticPr fontId="3"/>
  </si>
  <si>
    <t>証券種類</t>
    <phoneticPr fontId="3"/>
  </si>
  <si>
    <t>銘　柄　数</t>
    <phoneticPr fontId="3"/>
  </si>
  <si>
    <t>合　　計</t>
    <phoneticPr fontId="3"/>
  </si>
  <si>
    <t>証券</t>
    <phoneticPr fontId="3"/>
  </si>
  <si>
    <t>銀行</t>
    <phoneticPr fontId="3"/>
  </si>
  <si>
    <t>信託銀行</t>
    <phoneticPr fontId="3"/>
  </si>
  <si>
    <t>そ　の　他</t>
    <phoneticPr fontId="3"/>
  </si>
  <si>
    <t>（百万円）</t>
    <phoneticPr fontId="3"/>
  </si>
  <si>
    <t>株式等振替制度</t>
    <phoneticPr fontId="3"/>
  </si>
  <si>
    <t>株式</t>
    <phoneticPr fontId="3"/>
  </si>
  <si>
    <t>新株予約権付社債</t>
    <phoneticPr fontId="3"/>
  </si>
  <si>
    <t>新株予約権</t>
    <phoneticPr fontId="3"/>
  </si>
  <si>
    <t>優先出資</t>
    <phoneticPr fontId="3"/>
  </si>
  <si>
    <t>投資口</t>
    <phoneticPr fontId="3"/>
  </si>
  <si>
    <t>投資信託受益権（ETF）</t>
    <phoneticPr fontId="3"/>
  </si>
  <si>
    <t>受益証券発行信託の受益権</t>
    <phoneticPr fontId="3"/>
  </si>
  <si>
    <t>外国株券等保管振替決済制度</t>
    <phoneticPr fontId="3"/>
  </si>
  <si>
    <t>外国株券等</t>
    <phoneticPr fontId="3"/>
  </si>
  <si>
    <t>一般債振替制度</t>
    <phoneticPr fontId="3"/>
  </si>
  <si>
    <t xml:space="preserve">地方債（公募）                        </t>
    <phoneticPr fontId="3"/>
  </si>
  <si>
    <t xml:space="preserve">地方債（非公募）                        </t>
    <phoneticPr fontId="3"/>
  </si>
  <si>
    <t xml:space="preserve">政府保証債（公募）                      </t>
    <phoneticPr fontId="3"/>
  </si>
  <si>
    <t xml:space="preserve">財投機関債等(公募)                           </t>
    <phoneticPr fontId="3"/>
  </si>
  <si>
    <t xml:space="preserve">非公募特別債                            </t>
    <phoneticPr fontId="3"/>
  </si>
  <si>
    <t xml:space="preserve">地方公社債（公募）                      </t>
    <phoneticPr fontId="3"/>
  </si>
  <si>
    <t xml:space="preserve">地方公社債（非公募）                    </t>
    <phoneticPr fontId="3"/>
  </si>
  <si>
    <t xml:space="preserve">金融債（割引）                          </t>
    <phoneticPr fontId="3"/>
  </si>
  <si>
    <t xml:space="preserve">金融債（利付）                          </t>
    <phoneticPr fontId="3"/>
  </si>
  <si>
    <t xml:space="preserve">社債（公募）                            </t>
    <phoneticPr fontId="3"/>
  </si>
  <si>
    <t xml:space="preserve">社債（公募）うち一般担保付                         </t>
    <phoneticPr fontId="3"/>
  </si>
  <si>
    <t xml:space="preserve">社債（非公募）                          </t>
    <phoneticPr fontId="3"/>
  </si>
  <si>
    <t xml:space="preserve">社債（非公募）うち一般担保付                      </t>
    <phoneticPr fontId="3"/>
  </si>
  <si>
    <t xml:space="preserve">資産担保型社債（公募）                  </t>
    <phoneticPr fontId="3"/>
  </si>
  <si>
    <t xml:space="preserve">資産担保型社債（非公募）                </t>
    <phoneticPr fontId="3"/>
  </si>
  <si>
    <t xml:space="preserve">円建外債（公募）                        </t>
    <phoneticPr fontId="3"/>
  </si>
  <si>
    <t xml:space="preserve">円建外債（非公募）                      </t>
    <phoneticPr fontId="3"/>
  </si>
  <si>
    <t xml:space="preserve">資産担保型社債（非居住者分）（公募）    </t>
    <phoneticPr fontId="3"/>
  </si>
  <si>
    <t xml:space="preserve">資産担保型社債（非居住者分）（非公募）  </t>
    <phoneticPr fontId="3"/>
  </si>
  <si>
    <t xml:space="preserve">その他（公募）                          </t>
    <phoneticPr fontId="3"/>
  </si>
  <si>
    <t xml:space="preserve">その他（非公募）                        </t>
    <phoneticPr fontId="3"/>
  </si>
  <si>
    <t>短期社債振替制度</t>
    <phoneticPr fontId="3"/>
  </si>
  <si>
    <t>CP</t>
    <phoneticPr fontId="3"/>
  </si>
  <si>
    <t>投資信託振替制度</t>
    <phoneticPr fontId="3"/>
  </si>
  <si>
    <t>投資信託（公募）</t>
    <phoneticPr fontId="3"/>
  </si>
  <si>
    <t>投資信託（私募）</t>
    <phoneticPr fontId="3"/>
  </si>
  <si>
    <t>N/A</t>
    <phoneticPr fontId="3"/>
  </si>
  <si>
    <t>注1　株式等振替制度及び外国株券等保管振替決済制度における「口座残高（時価総額）」は、「基準日時点における各銘柄の口座残高（株数/口数）」に「同日における各銘柄の終値（終値が付かなかった場合には、直近の終値とする）」を乗じて算出した数値を合計したものである。</t>
    <phoneticPr fontId="3"/>
  </si>
  <si>
    <t>　　　する場合がある。</t>
    <phoneticPr fontId="3"/>
  </si>
  <si>
    <t>注2　参考：2018年4月末時点の契約型私募投信の銘柄数及び純資産残高（投資信託協会公表）5,680銘柄、86,995,636百万円</t>
    <phoneticPr fontId="3"/>
  </si>
  <si>
    <t>全制度口座残高一覧（2018年5月末時点）</t>
    <phoneticPr fontId="3"/>
  </si>
  <si>
    <t>【口座残高（時価総額）】</t>
    <phoneticPr fontId="3"/>
  </si>
  <si>
    <t>制　　度</t>
    <phoneticPr fontId="3"/>
  </si>
  <si>
    <t>証券種類</t>
    <phoneticPr fontId="3"/>
  </si>
  <si>
    <t>銘　柄　数</t>
    <phoneticPr fontId="3"/>
  </si>
  <si>
    <t>合　　計</t>
    <phoneticPr fontId="3"/>
  </si>
  <si>
    <t>証券</t>
    <phoneticPr fontId="3"/>
  </si>
  <si>
    <t>銀行</t>
    <phoneticPr fontId="3"/>
  </si>
  <si>
    <t>信託銀行</t>
    <phoneticPr fontId="3"/>
  </si>
  <si>
    <t>そ　の　他</t>
    <phoneticPr fontId="3"/>
  </si>
  <si>
    <t>（百万円）</t>
    <phoneticPr fontId="3"/>
  </si>
  <si>
    <t>株式等振替制度</t>
    <phoneticPr fontId="3"/>
  </si>
  <si>
    <t>株式</t>
    <phoneticPr fontId="3"/>
  </si>
  <si>
    <t>新株予約権付社債</t>
    <phoneticPr fontId="3"/>
  </si>
  <si>
    <t>新株予約権</t>
    <phoneticPr fontId="3"/>
  </si>
  <si>
    <t>優先出資</t>
    <phoneticPr fontId="3"/>
  </si>
  <si>
    <t>投資口</t>
    <phoneticPr fontId="3"/>
  </si>
  <si>
    <t>投資信託受益権（ETF）</t>
    <phoneticPr fontId="3"/>
  </si>
  <si>
    <t>受益証券発行信託の受益権</t>
    <phoneticPr fontId="3"/>
  </si>
  <si>
    <t>外国株券等保管振替決済制度</t>
    <phoneticPr fontId="3"/>
  </si>
  <si>
    <t>外国株券等</t>
    <phoneticPr fontId="3"/>
  </si>
  <si>
    <t>一般債振替制度</t>
    <phoneticPr fontId="3"/>
  </si>
  <si>
    <t xml:space="preserve">地方債（公募）                        </t>
    <phoneticPr fontId="3"/>
  </si>
  <si>
    <t xml:space="preserve">地方債（非公募）                        </t>
    <phoneticPr fontId="3"/>
  </si>
  <si>
    <t xml:space="preserve">政府保証債（公募）                      </t>
    <phoneticPr fontId="3"/>
  </si>
  <si>
    <t xml:space="preserve">財投機関債等(公募)                           </t>
    <phoneticPr fontId="3"/>
  </si>
  <si>
    <t xml:space="preserve">非公募特別債                            </t>
    <phoneticPr fontId="3"/>
  </si>
  <si>
    <t xml:space="preserve">地方公社債（公募）                      </t>
    <phoneticPr fontId="3"/>
  </si>
  <si>
    <t xml:space="preserve">地方公社債（非公募）                    </t>
    <phoneticPr fontId="3"/>
  </si>
  <si>
    <t xml:space="preserve">金融債（割引）                          </t>
    <phoneticPr fontId="3"/>
  </si>
  <si>
    <t xml:space="preserve">金融債（利付）                          </t>
    <phoneticPr fontId="3"/>
  </si>
  <si>
    <t xml:space="preserve">社債（公募）                            </t>
    <phoneticPr fontId="3"/>
  </si>
  <si>
    <t xml:space="preserve">社債（公募）うち一般担保付                         </t>
    <phoneticPr fontId="3"/>
  </si>
  <si>
    <t xml:space="preserve">社債（非公募）                          </t>
    <phoneticPr fontId="3"/>
  </si>
  <si>
    <t xml:space="preserve">社債（非公募）うち一般担保付                      </t>
    <phoneticPr fontId="3"/>
  </si>
  <si>
    <t xml:space="preserve">資産担保型社債（公募）                  </t>
    <phoneticPr fontId="3"/>
  </si>
  <si>
    <t xml:space="preserve">資産担保型社債（非公募）                </t>
    <phoneticPr fontId="3"/>
  </si>
  <si>
    <t xml:space="preserve">円建外債（公募）                        </t>
    <phoneticPr fontId="3"/>
  </si>
  <si>
    <t xml:space="preserve">円建外債（非公募）                      </t>
    <phoneticPr fontId="3"/>
  </si>
  <si>
    <t xml:space="preserve">資産担保型社債（非居住者分）（公募）    </t>
    <phoneticPr fontId="3"/>
  </si>
  <si>
    <t xml:space="preserve">資産担保型社債（非居住者分）（非公募）  </t>
    <phoneticPr fontId="3"/>
  </si>
  <si>
    <t xml:space="preserve">その他（公募）                          </t>
    <phoneticPr fontId="3"/>
  </si>
  <si>
    <t xml:space="preserve">その他（非公募）                        </t>
    <phoneticPr fontId="3"/>
  </si>
  <si>
    <t>短期社債振替制度</t>
    <phoneticPr fontId="3"/>
  </si>
  <si>
    <t>CP</t>
    <phoneticPr fontId="3"/>
  </si>
  <si>
    <t>投資信託振替制度</t>
    <phoneticPr fontId="3"/>
  </si>
  <si>
    <t>投資信託（公募）</t>
    <phoneticPr fontId="3"/>
  </si>
  <si>
    <t>投資信託（私募）</t>
    <phoneticPr fontId="3"/>
  </si>
  <si>
    <t>N/A</t>
    <phoneticPr fontId="3"/>
  </si>
  <si>
    <t>注1　株式等振替制度及び外国株券等保管振替決済制度における「口座残高（時価総額）」は、「基準日時点における各銘柄の口座残高（株数/口数）」に「同日における各銘柄の終値（終値が付かなかった場合には、直近の終値とする）」を乗じて算出した数値を合計したものである。</t>
    <phoneticPr fontId="3"/>
  </si>
  <si>
    <t>　　　する場合がある。</t>
    <phoneticPr fontId="3"/>
  </si>
  <si>
    <t>注2　参考：2018年5月末時点の契約型私募投信の銘柄数及び純資産残高（投資信託協会公表）5,739銘柄、85,116,348百万円</t>
    <phoneticPr fontId="3"/>
  </si>
  <si>
    <t>全制度口座残高一覧（2018年6月末時点）</t>
    <phoneticPr fontId="3"/>
  </si>
  <si>
    <t>【口座残高（時価総額）】</t>
    <phoneticPr fontId="3"/>
  </si>
  <si>
    <t>制　　度</t>
    <phoneticPr fontId="3"/>
  </si>
  <si>
    <t>証券種類</t>
    <phoneticPr fontId="3"/>
  </si>
  <si>
    <t>銘　柄　数</t>
    <phoneticPr fontId="3"/>
  </si>
  <si>
    <t>合　　計</t>
    <phoneticPr fontId="3"/>
  </si>
  <si>
    <t>証券</t>
    <phoneticPr fontId="3"/>
  </si>
  <si>
    <t>銀行</t>
    <phoneticPr fontId="3"/>
  </si>
  <si>
    <t>信託銀行</t>
    <phoneticPr fontId="3"/>
  </si>
  <si>
    <t>そ　の　他</t>
    <phoneticPr fontId="3"/>
  </si>
  <si>
    <t>（百万円）</t>
    <phoneticPr fontId="3"/>
  </si>
  <si>
    <t>株式等振替制度</t>
    <phoneticPr fontId="3"/>
  </si>
  <si>
    <t>株式</t>
    <phoneticPr fontId="3"/>
  </si>
  <si>
    <t>新株予約権付社債</t>
    <phoneticPr fontId="3"/>
  </si>
  <si>
    <t>新株予約権</t>
    <phoneticPr fontId="3"/>
  </si>
  <si>
    <t>優先出資</t>
    <phoneticPr fontId="3"/>
  </si>
  <si>
    <t>投資口</t>
    <phoneticPr fontId="3"/>
  </si>
  <si>
    <t>投資信託受益権（ETF）</t>
    <phoneticPr fontId="3"/>
  </si>
  <si>
    <t>受益証券発行信託の受益権</t>
    <phoneticPr fontId="3"/>
  </si>
  <si>
    <t>外国株券等保管振替決済制度</t>
    <phoneticPr fontId="3"/>
  </si>
  <si>
    <t>外国株券等</t>
    <phoneticPr fontId="3"/>
  </si>
  <si>
    <t>一般債振替制度</t>
    <phoneticPr fontId="3"/>
  </si>
  <si>
    <t xml:space="preserve">地方債（公募）                        </t>
    <phoneticPr fontId="3"/>
  </si>
  <si>
    <t xml:space="preserve">地方債（非公募）                        </t>
    <phoneticPr fontId="3"/>
  </si>
  <si>
    <t xml:space="preserve">政府保証債（公募）                      </t>
    <phoneticPr fontId="3"/>
  </si>
  <si>
    <t xml:space="preserve">財投機関債等(公募)                           </t>
    <phoneticPr fontId="3"/>
  </si>
  <si>
    <t xml:space="preserve">非公募特別債                            </t>
    <phoneticPr fontId="3"/>
  </si>
  <si>
    <t xml:space="preserve">地方公社債（公募）                      </t>
    <phoneticPr fontId="3"/>
  </si>
  <si>
    <t xml:space="preserve">地方公社債（非公募）                    </t>
    <phoneticPr fontId="3"/>
  </si>
  <si>
    <t xml:space="preserve">金融債（割引）                          </t>
    <phoneticPr fontId="3"/>
  </si>
  <si>
    <t xml:space="preserve">金融債（利付）                          </t>
    <phoneticPr fontId="3"/>
  </si>
  <si>
    <t xml:space="preserve">社債（公募）                            </t>
    <phoneticPr fontId="3"/>
  </si>
  <si>
    <t xml:space="preserve">社債（公募）うち一般担保付                         </t>
    <phoneticPr fontId="3"/>
  </si>
  <si>
    <t xml:space="preserve">社債（非公募）                          </t>
    <phoneticPr fontId="3"/>
  </si>
  <si>
    <t xml:space="preserve">社債（非公募）うち一般担保付                      </t>
    <phoneticPr fontId="3"/>
  </si>
  <si>
    <t xml:space="preserve">資産担保型社債（公募）                  </t>
    <phoneticPr fontId="3"/>
  </si>
  <si>
    <t xml:space="preserve">資産担保型社債（非公募）                </t>
    <phoneticPr fontId="3"/>
  </si>
  <si>
    <t xml:space="preserve">円建外債（公募）                        </t>
    <phoneticPr fontId="3"/>
  </si>
  <si>
    <t xml:space="preserve">円建外債（非公募）                      </t>
    <phoneticPr fontId="3"/>
  </si>
  <si>
    <t xml:space="preserve">資産担保型社債（非居住者分）（公募）    </t>
    <phoneticPr fontId="3"/>
  </si>
  <si>
    <t xml:space="preserve">資産担保型社債（非居住者分）（非公募）  </t>
    <phoneticPr fontId="3"/>
  </si>
  <si>
    <t xml:space="preserve">その他（公募）                          </t>
    <phoneticPr fontId="3"/>
  </si>
  <si>
    <t xml:space="preserve">その他（非公募）                        </t>
    <phoneticPr fontId="3"/>
  </si>
  <si>
    <t>短期社債振替制度</t>
    <phoneticPr fontId="3"/>
  </si>
  <si>
    <t>CP</t>
    <phoneticPr fontId="3"/>
  </si>
  <si>
    <t>投資信託振替制度</t>
    <phoneticPr fontId="3"/>
  </si>
  <si>
    <t>投資信託（公募）</t>
    <phoneticPr fontId="3"/>
  </si>
  <si>
    <t>投資信託（私募）</t>
    <phoneticPr fontId="3"/>
  </si>
  <si>
    <t>N/A</t>
    <phoneticPr fontId="3"/>
  </si>
  <si>
    <t>注1　株式等振替制度及び外国株券等保管振替決済制度における「口座残高（時価総額）」は、「基準日時点における各銘柄の口座残高（株数/口数）」に「同日における各銘柄の終値（終値が付かなかった場合には、直近の終値とする）」を乗じて算出した数値を合計したものである。</t>
    <phoneticPr fontId="3"/>
  </si>
  <si>
    <t>　　　する場合がある。</t>
    <phoneticPr fontId="3"/>
  </si>
  <si>
    <t>注2　参考：2018年6月末時点の契約型私募投信の銘柄数及び純資産残高（投資信託協会公表）5,803銘柄、85,986,727百万円</t>
    <phoneticPr fontId="3"/>
  </si>
  <si>
    <t>全制度口座残高一覧（2018年7月末時点）</t>
    <phoneticPr fontId="3"/>
  </si>
  <si>
    <t>【口座残高（時価総額）】</t>
    <phoneticPr fontId="3"/>
  </si>
  <si>
    <t>制　　度</t>
    <phoneticPr fontId="3"/>
  </si>
  <si>
    <t>証券種類</t>
    <phoneticPr fontId="3"/>
  </si>
  <si>
    <t>銘　柄　数</t>
    <phoneticPr fontId="3"/>
  </si>
  <si>
    <t>合　　計</t>
    <phoneticPr fontId="3"/>
  </si>
  <si>
    <t>証券</t>
    <phoneticPr fontId="3"/>
  </si>
  <si>
    <t>銀行</t>
    <phoneticPr fontId="3"/>
  </si>
  <si>
    <t>信託銀行</t>
    <phoneticPr fontId="3"/>
  </si>
  <si>
    <t>そ　の　他</t>
    <phoneticPr fontId="3"/>
  </si>
  <si>
    <t>（百万円）</t>
    <phoneticPr fontId="3"/>
  </si>
  <si>
    <t>株式等振替制度</t>
    <phoneticPr fontId="3"/>
  </si>
  <si>
    <t>株式</t>
    <phoneticPr fontId="3"/>
  </si>
  <si>
    <t>新株予約権付社債</t>
    <phoneticPr fontId="3"/>
  </si>
  <si>
    <t>優先出資</t>
    <phoneticPr fontId="3"/>
  </si>
  <si>
    <t>投資口</t>
    <phoneticPr fontId="3"/>
  </si>
  <si>
    <t>投資信託受益権（ETF）</t>
    <phoneticPr fontId="3"/>
  </si>
  <si>
    <t>受益証券発行信託の受益権</t>
    <phoneticPr fontId="3"/>
  </si>
  <si>
    <t>外国株券等</t>
    <phoneticPr fontId="3"/>
  </si>
  <si>
    <t>一般債振替制度</t>
    <phoneticPr fontId="3"/>
  </si>
  <si>
    <t xml:space="preserve">地方債（公募）                        </t>
    <phoneticPr fontId="3"/>
  </si>
  <si>
    <t xml:space="preserve">政府保証債（公募）                      </t>
    <phoneticPr fontId="3"/>
  </si>
  <si>
    <t xml:space="preserve">財投機関債等(公募)                           </t>
    <phoneticPr fontId="3"/>
  </si>
  <si>
    <t xml:space="preserve">非公募特別債                            </t>
    <phoneticPr fontId="3"/>
  </si>
  <si>
    <t xml:space="preserve">地方公社債（非公募）                    </t>
    <phoneticPr fontId="3"/>
  </si>
  <si>
    <t xml:space="preserve">金融債（割引）                          </t>
    <phoneticPr fontId="3"/>
  </si>
  <si>
    <t xml:space="preserve">金融債（利付）                          </t>
    <phoneticPr fontId="3"/>
  </si>
  <si>
    <t xml:space="preserve">社債（公募）                            </t>
    <phoneticPr fontId="3"/>
  </si>
  <si>
    <t xml:space="preserve">社債（公募）うち一般担保付                         </t>
    <phoneticPr fontId="3"/>
  </si>
  <si>
    <t xml:space="preserve">社債（非公募）                          </t>
    <phoneticPr fontId="3"/>
  </si>
  <si>
    <t xml:space="preserve">資産担保型社債（公募）                  </t>
    <phoneticPr fontId="3"/>
  </si>
  <si>
    <t xml:space="preserve">資産担保型社債（非公募）                </t>
    <phoneticPr fontId="3"/>
  </si>
  <si>
    <t xml:space="preserve">円建外債（非公募）                      </t>
    <phoneticPr fontId="3"/>
  </si>
  <si>
    <t xml:space="preserve">資産担保型社債（非居住者分）（公募）    </t>
    <phoneticPr fontId="3"/>
  </si>
  <si>
    <t xml:space="preserve">資産担保型社債（非居住者分）（非公募）  </t>
    <phoneticPr fontId="3"/>
  </si>
  <si>
    <t xml:space="preserve">その他（非公募）                        </t>
    <phoneticPr fontId="3"/>
  </si>
  <si>
    <t>短期社債振替制度</t>
    <phoneticPr fontId="3"/>
  </si>
  <si>
    <t>投資信託振替制度</t>
    <phoneticPr fontId="3"/>
  </si>
  <si>
    <t>投資信託（公募）</t>
    <phoneticPr fontId="3"/>
  </si>
  <si>
    <t>投資信託（私募）</t>
    <phoneticPr fontId="3"/>
  </si>
  <si>
    <t>N/A</t>
    <phoneticPr fontId="3"/>
  </si>
  <si>
    <t>注1　株式等振替制度及び外国株券等保管振替決済制度における「口座残高（時価総額）」は、「基準日時点における各銘柄の口座残高（株数/口数）」に「同日における各銘柄の終値（終値が付かなかった場合には、直近の終値とする）」を乗じて算出した数値を合計したものである。</t>
    <phoneticPr fontId="3"/>
  </si>
  <si>
    <t>　　　する場合がある。</t>
    <phoneticPr fontId="3"/>
  </si>
  <si>
    <t>注2　参考：2018年7月末時点の契約型私募投信の銘柄数及び純資産残高（投資信託協会公表）5,863銘柄、87,366,392百万円</t>
    <phoneticPr fontId="3"/>
  </si>
  <si>
    <t>全制度口座残高一覧（2018年8月末時点）</t>
    <phoneticPr fontId="3"/>
  </si>
  <si>
    <t>【口座残高（時価総額）】</t>
    <phoneticPr fontId="3"/>
  </si>
  <si>
    <t>証券種類</t>
    <phoneticPr fontId="3"/>
  </si>
  <si>
    <t>銀行</t>
    <phoneticPr fontId="3"/>
  </si>
  <si>
    <t>信託銀行</t>
    <phoneticPr fontId="3"/>
  </si>
  <si>
    <t>（百万円）</t>
    <phoneticPr fontId="3"/>
  </si>
  <si>
    <t>（百万円）</t>
    <phoneticPr fontId="3"/>
  </si>
  <si>
    <t>（百万円）</t>
    <phoneticPr fontId="3"/>
  </si>
  <si>
    <t>新株予約権付社債</t>
    <phoneticPr fontId="3"/>
  </si>
  <si>
    <t>新株予約権</t>
    <phoneticPr fontId="3"/>
  </si>
  <si>
    <t>優先出資</t>
    <phoneticPr fontId="3"/>
  </si>
  <si>
    <t>投資口</t>
    <phoneticPr fontId="3"/>
  </si>
  <si>
    <t xml:space="preserve">地方債（公募）                        </t>
    <phoneticPr fontId="3"/>
  </si>
  <si>
    <t xml:space="preserve">財投機関債等(公募)                           </t>
    <phoneticPr fontId="3"/>
  </si>
  <si>
    <t xml:space="preserve">非公募特別債                            </t>
    <phoneticPr fontId="3"/>
  </si>
  <si>
    <t xml:space="preserve">地方公社債（非公募）                    </t>
    <phoneticPr fontId="3"/>
  </si>
  <si>
    <t xml:space="preserve">金融債（割引）                          </t>
    <phoneticPr fontId="3"/>
  </si>
  <si>
    <t xml:space="preserve">金融債（利付）                          </t>
    <phoneticPr fontId="3"/>
  </si>
  <si>
    <t xml:space="preserve">社債（公募）                            </t>
    <phoneticPr fontId="3"/>
  </si>
  <si>
    <t xml:space="preserve">社債（非公募）                          </t>
    <phoneticPr fontId="3"/>
  </si>
  <si>
    <t xml:space="preserve">社債（非公募）うち一般担保付                      </t>
    <phoneticPr fontId="3"/>
  </si>
  <si>
    <t xml:space="preserve">資産担保型社債（非公募）                </t>
    <phoneticPr fontId="3"/>
  </si>
  <si>
    <t xml:space="preserve">円建外債（非公募）                      </t>
    <phoneticPr fontId="3"/>
  </si>
  <si>
    <t xml:space="preserve">その他（公募）                          </t>
    <phoneticPr fontId="3"/>
  </si>
  <si>
    <t xml:space="preserve">その他（非公募）                        </t>
    <phoneticPr fontId="3"/>
  </si>
  <si>
    <t>CP</t>
    <phoneticPr fontId="3"/>
  </si>
  <si>
    <t>N/A</t>
    <phoneticPr fontId="3"/>
  </si>
  <si>
    <t>注1　株式等振替制度及び外国株券等保管振替決済制度における「口座残高（時価総額）」は、「基準日時点における各銘柄の口座残高（株数/口数）」に「同日における各銘柄の終値（終値が付かなかった場合には、直近の終値とする）」を乗じて算出した数値を合計したものである。</t>
    <phoneticPr fontId="3"/>
  </si>
  <si>
    <t>注2　参考：2018年8月末時点の契約型私募投信の銘柄数及び純資産残高（投資信託協会公表）5,916銘柄、88,212,676百万円</t>
    <phoneticPr fontId="3"/>
  </si>
  <si>
    <t>全制度口座残高一覧（2018年9月末時点）</t>
    <phoneticPr fontId="3"/>
  </si>
  <si>
    <t>【口座残高（時価総額）】</t>
    <phoneticPr fontId="3"/>
  </si>
  <si>
    <t>制　　度</t>
    <phoneticPr fontId="3"/>
  </si>
  <si>
    <t>証券種類</t>
    <phoneticPr fontId="3"/>
  </si>
  <si>
    <t>銘　柄　数</t>
    <phoneticPr fontId="3"/>
  </si>
  <si>
    <t>証券</t>
    <phoneticPr fontId="3"/>
  </si>
  <si>
    <t>信託銀行</t>
    <phoneticPr fontId="3"/>
  </si>
  <si>
    <t>そ　の　他</t>
    <phoneticPr fontId="3"/>
  </si>
  <si>
    <t>（百万円）</t>
    <phoneticPr fontId="3"/>
  </si>
  <si>
    <t>（百万円）</t>
    <phoneticPr fontId="3"/>
  </si>
  <si>
    <t>（百万円）</t>
    <phoneticPr fontId="3"/>
  </si>
  <si>
    <t>（百万円）</t>
    <phoneticPr fontId="3"/>
  </si>
  <si>
    <t>株式等振替制度</t>
    <phoneticPr fontId="3"/>
  </si>
  <si>
    <t>新株予約権付社債</t>
    <phoneticPr fontId="3"/>
  </si>
  <si>
    <t>新株予約権</t>
    <phoneticPr fontId="3"/>
  </si>
  <si>
    <t>優先出資</t>
    <phoneticPr fontId="3"/>
  </si>
  <si>
    <t>投資口</t>
    <phoneticPr fontId="3"/>
  </si>
  <si>
    <t>投資信託受益権（ETF）</t>
    <phoneticPr fontId="3"/>
  </si>
  <si>
    <t>受益証券発行信託の受益権</t>
    <phoneticPr fontId="3"/>
  </si>
  <si>
    <t>外国株券等保管振替決済制度</t>
    <phoneticPr fontId="3"/>
  </si>
  <si>
    <t>外国株券等</t>
    <phoneticPr fontId="3"/>
  </si>
  <si>
    <t>一般債振替制度</t>
    <phoneticPr fontId="3"/>
  </si>
  <si>
    <t xml:space="preserve">地方債（公募）                        </t>
    <phoneticPr fontId="3"/>
  </si>
  <si>
    <t xml:space="preserve">政府保証債（公募）                      </t>
    <phoneticPr fontId="3"/>
  </si>
  <si>
    <t xml:space="preserve">財投機関債等(公募)                           </t>
    <phoneticPr fontId="3"/>
  </si>
  <si>
    <t xml:space="preserve">非公募特別債                            </t>
    <phoneticPr fontId="3"/>
  </si>
  <si>
    <t xml:space="preserve">地方公社債（公募）                      </t>
    <phoneticPr fontId="3"/>
  </si>
  <si>
    <t xml:space="preserve">地方公社債（非公募）                    </t>
    <phoneticPr fontId="3"/>
  </si>
  <si>
    <t xml:space="preserve">金融債（割引）                          </t>
    <phoneticPr fontId="3"/>
  </si>
  <si>
    <t xml:space="preserve">社債（公募）うち一般担保付                         </t>
    <phoneticPr fontId="3"/>
  </si>
  <si>
    <t xml:space="preserve">社債（非公募）                          </t>
    <phoneticPr fontId="3"/>
  </si>
  <si>
    <t xml:space="preserve">社債（非公募）うち一般担保付                      </t>
    <phoneticPr fontId="3"/>
  </si>
  <si>
    <t xml:space="preserve">資産担保型社債（公募）                  </t>
    <phoneticPr fontId="3"/>
  </si>
  <si>
    <t xml:space="preserve">資産担保型社債（非公募）                </t>
    <phoneticPr fontId="3"/>
  </si>
  <si>
    <t xml:space="preserve">円建外債（公募）                        </t>
    <phoneticPr fontId="3"/>
  </si>
  <si>
    <t xml:space="preserve">円建外債（非公募）                      </t>
    <phoneticPr fontId="3"/>
  </si>
  <si>
    <t xml:space="preserve">資産担保型社債（非居住者分）（公募）    </t>
    <phoneticPr fontId="3"/>
  </si>
  <si>
    <t xml:space="preserve">その他（公募）                          </t>
    <phoneticPr fontId="3"/>
  </si>
  <si>
    <t xml:space="preserve">その他（非公募）                        </t>
    <phoneticPr fontId="3"/>
  </si>
  <si>
    <t>短期社債振替制度</t>
    <phoneticPr fontId="3"/>
  </si>
  <si>
    <t>CP</t>
    <phoneticPr fontId="3"/>
  </si>
  <si>
    <t>投資信託振替制度</t>
    <phoneticPr fontId="3"/>
  </si>
  <si>
    <t>投資信託（公募）</t>
    <phoneticPr fontId="3"/>
  </si>
  <si>
    <t>投資信託（私募）</t>
    <phoneticPr fontId="3"/>
  </si>
  <si>
    <t>N/A</t>
    <phoneticPr fontId="3"/>
  </si>
  <si>
    <t>注2　参考：2018年9月末時点の契約型私募投信の銘柄数及び純資産残高（投資信託協会公表）6,001銘柄、89,473,318百万円</t>
    <phoneticPr fontId="3"/>
  </si>
  <si>
    <t>全制度口座残高一覧（2018年10月末時点）</t>
    <phoneticPr fontId="3"/>
  </si>
  <si>
    <t>外国株券等保管振替決済制度</t>
    <phoneticPr fontId="3"/>
  </si>
  <si>
    <t>一般債振替制度</t>
    <phoneticPr fontId="3"/>
  </si>
  <si>
    <t xml:space="preserve">地方債（公募）                        </t>
    <phoneticPr fontId="3"/>
  </si>
  <si>
    <t xml:space="preserve">政府保証債（公募）                      </t>
    <phoneticPr fontId="3"/>
  </si>
  <si>
    <t xml:space="preserve">財投機関債等(公募)                           </t>
    <phoneticPr fontId="3"/>
  </si>
  <si>
    <t xml:space="preserve">非公募特別債                            </t>
    <phoneticPr fontId="3"/>
  </si>
  <si>
    <t xml:space="preserve">地方公社債（公募）                      </t>
    <phoneticPr fontId="3"/>
  </si>
  <si>
    <t xml:space="preserve">金融債（割引）                          </t>
    <phoneticPr fontId="3"/>
  </si>
  <si>
    <t xml:space="preserve">金融債（利付）                          </t>
    <phoneticPr fontId="3"/>
  </si>
  <si>
    <t xml:space="preserve">社債（公募）                            </t>
    <phoneticPr fontId="3"/>
  </si>
  <si>
    <t xml:space="preserve">社債（公募）うち一般担保付                         </t>
    <phoneticPr fontId="3"/>
  </si>
  <si>
    <t xml:space="preserve">社債（非公募）                          </t>
    <phoneticPr fontId="3"/>
  </si>
  <si>
    <t xml:space="preserve">社債（非公募）うち一般担保付                      </t>
    <phoneticPr fontId="3"/>
  </si>
  <si>
    <t xml:space="preserve">資産担保型社債（公募）                  </t>
    <phoneticPr fontId="3"/>
  </si>
  <si>
    <t xml:space="preserve">資産担保型社債（非居住者分）（公募）    </t>
    <phoneticPr fontId="3"/>
  </si>
  <si>
    <t xml:space="preserve">その他（公募）                          </t>
    <phoneticPr fontId="3"/>
  </si>
  <si>
    <t xml:space="preserve">その他（非公募）                        </t>
    <phoneticPr fontId="3"/>
  </si>
  <si>
    <t>投資信託（私募）</t>
    <phoneticPr fontId="3"/>
  </si>
  <si>
    <t>注2　参考：2018年10月末時点の契約型私募投信の銘柄数及び純資産残高（投資信託協会公表）6,054銘柄、90,057,200百万円</t>
    <phoneticPr fontId="3"/>
  </si>
  <si>
    <t>【口座残高（時価総額）】</t>
    <phoneticPr fontId="3"/>
  </si>
  <si>
    <t>合　　計</t>
    <phoneticPr fontId="3"/>
  </si>
  <si>
    <t>そ　の　他</t>
    <phoneticPr fontId="3"/>
  </si>
  <si>
    <t>（百万円）</t>
    <phoneticPr fontId="3"/>
  </si>
  <si>
    <t>（百万円）</t>
    <phoneticPr fontId="3"/>
  </si>
  <si>
    <t>（百万円）</t>
    <phoneticPr fontId="3"/>
  </si>
  <si>
    <t>新株予約権</t>
    <phoneticPr fontId="3"/>
  </si>
  <si>
    <t>投資口</t>
    <phoneticPr fontId="3"/>
  </si>
  <si>
    <t>投資信託受益権（ETF）</t>
    <phoneticPr fontId="3"/>
  </si>
  <si>
    <t>受益証券発行信託の受益権</t>
    <phoneticPr fontId="3"/>
  </si>
  <si>
    <t>外国株券等</t>
    <phoneticPr fontId="3"/>
  </si>
  <si>
    <t xml:space="preserve">地方債（非公募）                        </t>
    <phoneticPr fontId="3"/>
  </si>
  <si>
    <t xml:space="preserve">地方公社債（非公募）                    </t>
    <phoneticPr fontId="3"/>
  </si>
  <si>
    <t xml:space="preserve">資産担保型社債（非公募）                </t>
    <phoneticPr fontId="3"/>
  </si>
  <si>
    <t xml:space="preserve">円建外債（公募）                        </t>
    <phoneticPr fontId="3"/>
  </si>
  <si>
    <t xml:space="preserve">円建外債（非公募）                      </t>
    <phoneticPr fontId="3"/>
  </si>
  <si>
    <t xml:space="preserve">資産担保型社債（非居住者分）（非公募）  </t>
    <phoneticPr fontId="3"/>
  </si>
  <si>
    <t>短期社債振替制度</t>
    <phoneticPr fontId="3"/>
  </si>
  <si>
    <t>CP</t>
    <phoneticPr fontId="3"/>
  </si>
  <si>
    <t>投資信託振替制度</t>
    <phoneticPr fontId="3"/>
  </si>
  <si>
    <t>投資信託（公募）</t>
    <phoneticPr fontId="3"/>
  </si>
  <si>
    <t>N/A</t>
    <phoneticPr fontId="3"/>
  </si>
  <si>
    <t>注1　株式等振替制度及び外国株券等保管振替決済制度における「口座残高（時価総額）」は、「基準日時点における各銘柄の口座残高（株数/口数）」に「同日における各銘柄の終値（終値が付かなかった場合には、直近の終値とする）」を乗じて算出した数値を合計したものである。</t>
    <phoneticPr fontId="3"/>
  </si>
  <si>
    <t>　　　する場合がある。</t>
    <phoneticPr fontId="3"/>
  </si>
  <si>
    <t>全制度口座残高一覧（2018年11月末時点）</t>
    <phoneticPr fontId="3"/>
  </si>
  <si>
    <t>【口座残高（時価総額）】</t>
    <phoneticPr fontId="3"/>
  </si>
  <si>
    <t>制　　度</t>
    <phoneticPr fontId="3"/>
  </si>
  <si>
    <t>証券種類</t>
    <phoneticPr fontId="3"/>
  </si>
  <si>
    <t>銘　柄　数</t>
    <phoneticPr fontId="3"/>
  </si>
  <si>
    <t>合　　計</t>
    <phoneticPr fontId="3"/>
  </si>
  <si>
    <t>証券</t>
    <phoneticPr fontId="3"/>
  </si>
  <si>
    <t>銀行</t>
    <phoneticPr fontId="3"/>
  </si>
  <si>
    <t>そ　の　他</t>
    <phoneticPr fontId="3"/>
  </si>
  <si>
    <t>（百万円）</t>
    <phoneticPr fontId="3"/>
  </si>
  <si>
    <t>株式</t>
    <phoneticPr fontId="3"/>
  </si>
  <si>
    <t>新株予約権</t>
    <phoneticPr fontId="3"/>
  </si>
  <si>
    <t>優先出資</t>
    <phoneticPr fontId="3"/>
  </si>
  <si>
    <t>投資信託受益権（ETF）</t>
    <phoneticPr fontId="3"/>
  </si>
  <si>
    <t>一般債振替制度</t>
    <phoneticPr fontId="3"/>
  </si>
  <si>
    <t xml:space="preserve">金融債（利付）                          </t>
    <phoneticPr fontId="3"/>
  </si>
  <si>
    <t xml:space="preserve">円建外債（公募）                        </t>
    <phoneticPr fontId="3"/>
  </si>
  <si>
    <t xml:space="preserve">資産担保型社債（非居住者分）（公募）    </t>
    <phoneticPr fontId="3"/>
  </si>
  <si>
    <t xml:space="preserve">資産担保型社債（非居住者分）（非公募）  </t>
    <phoneticPr fontId="3"/>
  </si>
  <si>
    <t>投資信託振替制度</t>
    <phoneticPr fontId="3"/>
  </si>
  <si>
    <t>投資信託（私募）</t>
    <phoneticPr fontId="3"/>
  </si>
  <si>
    <t>N/A</t>
    <phoneticPr fontId="3"/>
  </si>
  <si>
    <t>N/A</t>
    <phoneticPr fontId="3"/>
  </si>
  <si>
    <t>注1　株式等振替制度及び外国株券等保管振替決済制度における「口座残高（時価総額）」は、「基準日時点における各銘柄の口座残高（株数/口数）」に「同日における各銘柄の終値（終値が付かなかった場合には、直近の終値とする）」を乗じて算出した数値を合計したものである。</t>
    <phoneticPr fontId="3"/>
  </si>
  <si>
    <t>注2　参考：2018年11月末時点の契約型私募投信の銘柄数及び純資産残高（投資信託協会公表）6,103銘柄、90,714,046百万円</t>
    <phoneticPr fontId="3"/>
  </si>
  <si>
    <t>全制度口座残高一覧（2018年12月末時点）</t>
    <phoneticPr fontId="3"/>
  </si>
  <si>
    <t>【口座残高（時価総額）】</t>
    <phoneticPr fontId="3"/>
  </si>
  <si>
    <t>制　　度</t>
    <phoneticPr fontId="3"/>
  </si>
  <si>
    <t>証券種類</t>
    <phoneticPr fontId="3"/>
  </si>
  <si>
    <t>銘　柄　数</t>
    <phoneticPr fontId="3"/>
  </si>
  <si>
    <t>合　　計</t>
    <phoneticPr fontId="3"/>
  </si>
  <si>
    <t>証券</t>
    <phoneticPr fontId="3"/>
  </si>
  <si>
    <t>（百万円）</t>
    <phoneticPr fontId="3"/>
  </si>
  <si>
    <t>（百万円）</t>
    <phoneticPr fontId="3"/>
  </si>
  <si>
    <t>株式等振替制度</t>
    <phoneticPr fontId="3"/>
  </si>
  <si>
    <t>株式</t>
    <phoneticPr fontId="3"/>
  </si>
  <si>
    <t>新株予約権付社債</t>
    <phoneticPr fontId="3"/>
  </si>
  <si>
    <t>新株予約権</t>
    <phoneticPr fontId="3"/>
  </si>
  <si>
    <t>優先出資</t>
    <phoneticPr fontId="3"/>
  </si>
  <si>
    <t>投資口</t>
    <phoneticPr fontId="3"/>
  </si>
  <si>
    <t>投資信託受益権（ETF）</t>
    <phoneticPr fontId="3"/>
  </si>
  <si>
    <t>受益証券発行信託の受益権</t>
    <phoneticPr fontId="3"/>
  </si>
  <si>
    <t>外国株券等保管振替決済制度</t>
    <phoneticPr fontId="3"/>
  </si>
  <si>
    <t>外国株券等</t>
    <phoneticPr fontId="3"/>
  </si>
  <si>
    <t>一般債振替制度</t>
    <phoneticPr fontId="3"/>
  </si>
  <si>
    <t xml:space="preserve">地方債（公募）                        </t>
    <phoneticPr fontId="3"/>
  </si>
  <si>
    <t xml:space="preserve">地方債（非公募）                        </t>
    <phoneticPr fontId="3"/>
  </si>
  <si>
    <t xml:space="preserve">政府保証債（公募）                      </t>
    <phoneticPr fontId="3"/>
  </si>
  <si>
    <t xml:space="preserve">財投機関債等(公募)                           </t>
    <phoneticPr fontId="3"/>
  </si>
  <si>
    <t xml:space="preserve">地方公社債（非公募）                    </t>
    <phoneticPr fontId="3"/>
  </si>
  <si>
    <t xml:space="preserve">金融債（利付）                          </t>
    <phoneticPr fontId="3"/>
  </si>
  <si>
    <t xml:space="preserve">社債（公募）うち一般担保付                         </t>
    <phoneticPr fontId="3"/>
  </si>
  <si>
    <t xml:space="preserve">円建外債（非公募）                      </t>
    <phoneticPr fontId="3"/>
  </si>
  <si>
    <t xml:space="preserve">資産担保型社債（非居住者分）（公募）    </t>
    <phoneticPr fontId="3"/>
  </si>
  <si>
    <t xml:space="preserve">その他（非公募）                        </t>
    <phoneticPr fontId="3"/>
  </si>
  <si>
    <t>短期社債振替制度</t>
    <phoneticPr fontId="3"/>
  </si>
  <si>
    <t>CP</t>
    <phoneticPr fontId="3"/>
  </si>
  <si>
    <t>注1　株式等振替制度及び外国株券等保管振替決済制度における「口座残高（時価総額）」は、「基準日時点における各銘柄の口座残高（株数/口数）」に「同日における各銘柄の終値（終値が付かなかった場合には、直近の終値とする）」を乗じて算出した数値を合計したものである。</t>
    <phoneticPr fontId="3"/>
  </si>
  <si>
    <t>注2　参考：2018年12月末時点の契約型私募投信の銘柄数及び純資産残高（投資信託協会公表）6,142銘柄、89,557,959百万円</t>
    <phoneticPr fontId="3"/>
  </si>
  <si>
    <t>全制度口座残高一覧（2019年1月末時点）</t>
    <phoneticPr fontId="3"/>
  </si>
  <si>
    <t>【口座残高（時価総額）】</t>
    <phoneticPr fontId="3"/>
  </si>
  <si>
    <t>制　　度</t>
    <phoneticPr fontId="3"/>
  </si>
  <si>
    <t>証券種類</t>
    <phoneticPr fontId="3"/>
  </si>
  <si>
    <t>合　　計</t>
    <phoneticPr fontId="3"/>
  </si>
  <si>
    <t>証券</t>
    <phoneticPr fontId="3"/>
  </si>
  <si>
    <t>銀行</t>
    <phoneticPr fontId="3"/>
  </si>
  <si>
    <t>そ　の　他</t>
    <phoneticPr fontId="3"/>
  </si>
  <si>
    <t>（百万円）</t>
    <phoneticPr fontId="3"/>
  </si>
  <si>
    <t>株式等振替制度</t>
    <phoneticPr fontId="3"/>
  </si>
  <si>
    <t>株式</t>
    <phoneticPr fontId="3"/>
  </si>
  <si>
    <t>新株予約権付社債</t>
    <phoneticPr fontId="3"/>
  </si>
  <si>
    <t>新株予約権</t>
    <phoneticPr fontId="3"/>
  </si>
  <si>
    <t>優先出資</t>
    <phoneticPr fontId="3"/>
  </si>
  <si>
    <t>投資口</t>
    <phoneticPr fontId="3"/>
  </si>
  <si>
    <t>投資信託受益権（ETF）</t>
    <phoneticPr fontId="3"/>
  </si>
  <si>
    <t>外国株券等保管振替決済制度</t>
    <phoneticPr fontId="3"/>
  </si>
  <si>
    <t>外国株券等</t>
    <phoneticPr fontId="3"/>
  </si>
  <si>
    <t xml:space="preserve">地方債（公募）                        </t>
    <phoneticPr fontId="3"/>
  </si>
  <si>
    <t xml:space="preserve">金融債（利付）                          </t>
    <phoneticPr fontId="3"/>
  </si>
  <si>
    <t xml:space="preserve">社債（公募）うち一般担保付                         </t>
    <phoneticPr fontId="3"/>
  </si>
  <si>
    <t xml:space="preserve">資産担保型社債（公募）                  </t>
    <phoneticPr fontId="3"/>
  </si>
  <si>
    <t xml:space="preserve">資産担保型社債（非公募）                </t>
    <phoneticPr fontId="3"/>
  </si>
  <si>
    <t xml:space="preserve">資産担保型社債（非居住者分）（公募）    </t>
    <phoneticPr fontId="3"/>
  </si>
  <si>
    <t xml:space="preserve">その他（公募）                          </t>
    <phoneticPr fontId="3"/>
  </si>
  <si>
    <t xml:space="preserve">その他（非公募）                        </t>
    <phoneticPr fontId="3"/>
  </si>
  <si>
    <t>短期社債振替制度</t>
    <phoneticPr fontId="3"/>
  </si>
  <si>
    <t>投資信託振替制度</t>
    <phoneticPr fontId="3"/>
  </si>
  <si>
    <t>投資信託（私募）</t>
    <phoneticPr fontId="3"/>
  </si>
  <si>
    <t>　　　する場合がある。</t>
    <phoneticPr fontId="3"/>
  </si>
  <si>
    <t>注2　参考：2019年1月末時点の契約型私募投信の銘柄数及び純資産残高（投資信託協会公表）6,193銘柄、89,601,512百万円</t>
    <phoneticPr fontId="3"/>
  </si>
  <si>
    <t>全制度口座残高一覧（2019年2月末時点）</t>
    <phoneticPr fontId="3"/>
  </si>
  <si>
    <t>【口座残高（時価総額）】</t>
    <phoneticPr fontId="3"/>
  </si>
  <si>
    <t>（百万円）</t>
    <phoneticPr fontId="3"/>
  </si>
  <si>
    <t>株式等振替制度</t>
    <phoneticPr fontId="3"/>
  </si>
  <si>
    <t>新株予約権付社債</t>
    <phoneticPr fontId="3"/>
  </si>
  <si>
    <t>優先出資</t>
    <phoneticPr fontId="3"/>
  </si>
  <si>
    <t>投資口</t>
    <phoneticPr fontId="3"/>
  </si>
  <si>
    <t>投資信託受益権（ETF）</t>
    <phoneticPr fontId="3"/>
  </si>
  <si>
    <t>受益証券発行信託の受益権</t>
    <phoneticPr fontId="3"/>
  </si>
  <si>
    <t>外国株券等保管振替決済制度</t>
    <phoneticPr fontId="3"/>
  </si>
  <si>
    <t>外国株券等</t>
    <phoneticPr fontId="3"/>
  </si>
  <si>
    <t xml:space="preserve">金融債（割引）                          </t>
    <phoneticPr fontId="3"/>
  </si>
  <si>
    <t xml:space="preserve">金融債（利付）                          </t>
    <phoneticPr fontId="3"/>
  </si>
  <si>
    <t xml:space="preserve">社債（公募）                            </t>
    <phoneticPr fontId="3"/>
  </si>
  <si>
    <t xml:space="preserve">社債（非公募）                          </t>
    <phoneticPr fontId="3"/>
  </si>
  <si>
    <t xml:space="preserve">社債（非公募）うち一般担保付                      </t>
    <phoneticPr fontId="3"/>
  </si>
  <si>
    <t xml:space="preserve">資産担保型社債（非公募）                </t>
    <phoneticPr fontId="3"/>
  </si>
  <si>
    <t xml:space="preserve">円建外債（公募）                        </t>
    <phoneticPr fontId="3"/>
  </si>
  <si>
    <t xml:space="preserve">円建外債（非公募）                      </t>
    <phoneticPr fontId="3"/>
  </si>
  <si>
    <t xml:space="preserve">資産担保型社債（非居住者分）（公募）    </t>
    <phoneticPr fontId="3"/>
  </si>
  <si>
    <t xml:space="preserve">資産担保型社債（非居住者分）（非公募）  </t>
    <phoneticPr fontId="3"/>
  </si>
  <si>
    <t xml:space="preserve">その他（公募）                          </t>
    <phoneticPr fontId="3"/>
  </si>
  <si>
    <t xml:space="preserve">その他（非公募）                        </t>
    <phoneticPr fontId="3"/>
  </si>
  <si>
    <t>短期社債振替制度</t>
    <phoneticPr fontId="3"/>
  </si>
  <si>
    <t>CP</t>
    <phoneticPr fontId="3"/>
  </si>
  <si>
    <t>投資信託振替制度</t>
    <phoneticPr fontId="3"/>
  </si>
  <si>
    <t>投資信託（公募）</t>
    <phoneticPr fontId="3"/>
  </si>
  <si>
    <t>投資信託（私募）</t>
    <phoneticPr fontId="3"/>
  </si>
  <si>
    <t>N/A</t>
    <phoneticPr fontId="3"/>
  </si>
  <si>
    <t>注1　株式等振替制度及び外国株券等保管振替決済制度における「口座残高（時価総額）」は、「基準日時点における各銘柄の口座残高（株数/口数）」に「同日における各銘柄の終値（終値が付かなかった場合には、直近の終値とする）」を乗じて算出した数値を合計したものである。</t>
    <phoneticPr fontId="3"/>
  </si>
  <si>
    <t>　　　する場合がある。</t>
    <phoneticPr fontId="3"/>
  </si>
  <si>
    <t>注2　参考：2019年2月末時点の契約型私募投信の銘柄数及び純資産残高（投資信託協会公表）6,256銘柄、89,993,715百万円</t>
    <phoneticPr fontId="3"/>
  </si>
  <si>
    <t>全制度口座残高一覧（2019年3月末時点）</t>
    <phoneticPr fontId="3"/>
  </si>
  <si>
    <t>証券種類</t>
    <phoneticPr fontId="3"/>
  </si>
  <si>
    <t>銘　柄　数</t>
    <phoneticPr fontId="3"/>
  </si>
  <si>
    <t>合　　計</t>
    <phoneticPr fontId="3"/>
  </si>
  <si>
    <t>証券</t>
    <phoneticPr fontId="3"/>
  </si>
  <si>
    <t>信託銀行</t>
    <phoneticPr fontId="3"/>
  </si>
  <si>
    <t>そ　の　他</t>
    <phoneticPr fontId="3"/>
  </si>
  <si>
    <t>（百万円）</t>
    <phoneticPr fontId="3"/>
  </si>
  <si>
    <t>（百万円）</t>
    <phoneticPr fontId="3"/>
  </si>
  <si>
    <t>株式</t>
    <phoneticPr fontId="3"/>
  </si>
  <si>
    <t>新株予約権付社債</t>
    <phoneticPr fontId="3"/>
  </si>
  <si>
    <t>投資信託受益権（ETF）</t>
    <phoneticPr fontId="3"/>
  </si>
  <si>
    <t>受益証券発行信託の受益権</t>
    <phoneticPr fontId="3"/>
  </si>
  <si>
    <t>外国株券等</t>
    <phoneticPr fontId="3"/>
  </si>
  <si>
    <t>一般債振替制度</t>
    <phoneticPr fontId="3"/>
  </si>
  <si>
    <t xml:space="preserve">地方債（公募）                        </t>
    <phoneticPr fontId="3"/>
  </si>
  <si>
    <t xml:space="preserve">地方債（非公募）                        </t>
    <phoneticPr fontId="3"/>
  </si>
  <si>
    <t xml:space="preserve">政府保証債（公募）                      </t>
    <phoneticPr fontId="3"/>
  </si>
  <si>
    <t xml:space="preserve">財投機関債等(公募)                           </t>
    <phoneticPr fontId="3"/>
  </si>
  <si>
    <t xml:space="preserve">地方公社債（公募）                      </t>
    <phoneticPr fontId="3"/>
  </si>
  <si>
    <t xml:space="preserve">金融債（割引）                          </t>
    <phoneticPr fontId="3"/>
  </si>
  <si>
    <t xml:space="preserve">金融債（利付）                          </t>
    <phoneticPr fontId="3"/>
  </si>
  <si>
    <t xml:space="preserve">社債（非公募）                          </t>
    <phoneticPr fontId="3"/>
  </si>
  <si>
    <t xml:space="preserve">資産担保型社債（公募）                  </t>
    <phoneticPr fontId="3"/>
  </si>
  <si>
    <t xml:space="preserve">資産担保型社債（非公募）                </t>
    <phoneticPr fontId="3"/>
  </si>
  <si>
    <t xml:space="preserve">円建外債（公募）                        </t>
    <phoneticPr fontId="3"/>
  </si>
  <si>
    <t xml:space="preserve">円建外債（非公募）                      </t>
    <phoneticPr fontId="3"/>
  </si>
  <si>
    <t xml:space="preserve">資産担保型社債（非居住者分）（公募）    </t>
    <phoneticPr fontId="3"/>
  </si>
  <si>
    <t xml:space="preserve">その他（公募）                          </t>
    <phoneticPr fontId="3"/>
  </si>
  <si>
    <t>短期社債振替制度</t>
    <phoneticPr fontId="3"/>
  </si>
  <si>
    <t>投資信託振替制度</t>
    <phoneticPr fontId="3"/>
  </si>
  <si>
    <t>投資信託（公募）</t>
    <phoneticPr fontId="3"/>
  </si>
  <si>
    <t>投資信託（私募）</t>
    <phoneticPr fontId="3"/>
  </si>
  <si>
    <t>N/A</t>
    <phoneticPr fontId="3"/>
  </si>
  <si>
    <t>注2　参考：2019年3月末時点の契約型私募投信の銘柄数及び純資産残高（投資信託協会公表）6,341銘柄、91,843,981百万円</t>
    <phoneticPr fontId="3"/>
  </si>
  <si>
    <t>全制度口座残高一覧（2019年4月末時点）</t>
    <phoneticPr fontId="3"/>
  </si>
  <si>
    <t>【口座残高（時価総額）】</t>
    <phoneticPr fontId="3"/>
  </si>
  <si>
    <t>銘　柄　数</t>
    <phoneticPr fontId="3"/>
  </si>
  <si>
    <t>合　　計</t>
    <phoneticPr fontId="3"/>
  </si>
  <si>
    <t>証券</t>
    <phoneticPr fontId="3"/>
  </si>
  <si>
    <t>（百万円）</t>
    <phoneticPr fontId="3"/>
  </si>
  <si>
    <t>株式等振替制度</t>
    <phoneticPr fontId="3"/>
  </si>
  <si>
    <t>新株予約権付社債</t>
    <phoneticPr fontId="3"/>
  </si>
  <si>
    <t>投資信託受益権（ETF）</t>
    <phoneticPr fontId="3"/>
  </si>
  <si>
    <t>受益証券発行信託の受益権</t>
    <phoneticPr fontId="3"/>
  </si>
  <si>
    <t>外国株券等保管振替決済制度</t>
    <phoneticPr fontId="3"/>
  </si>
  <si>
    <t>外国株券等</t>
    <phoneticPr fontId="3"/>
  </si>
  <si>
    <t>一般債振替制度</t>
    <phoneticPr fontId="3"/>
  </si>
  <si>
    <t xml:space="preserve">地方債（公募）                        </t>
    <phoneticPr fontId="3"/>
  </si>
  <si>
    <t xml:space="preserve">地方債（非公募）                        </t>
    <phoneticPr fontId="3"/>
  </si>
  <si>
    <t xml:space="preserve">政府保証債（公募）                      </t>
    <phoneticPr fontId="3"/>
  </si>
  <si>
    <t xml:space="preserve">非公募特別債                            </t>
    <phoneticPr fontId="3"/>
  </si>
  <si>
    <t xml:space="preserve">地方公社債（公募）                      </t>
    <phoneticPr fontId="3"/>
  </si>
  <si>
    <t xml:space="preserve">地方公社債（非公募）                    </t>
    <phoneticPr fontId="3"/>
  </si>
  <si>
    <t xml:space="preserve">金融債（割引）                          </t>
    <phoneticPr fontId="3"/>
  </si>
  <si>
    <t xml:space="preserve">金融債（利付）                          </t>
    <phoneticPr fontId="3"/>
  </si>
  <si>
    <t xml:space="preserve">社債（公募）                            </t>
    <phoneticPr fontId="3"/>
  </si>
  <si>
    <t xml:space="preserve">社債（公募）うち一般担保付                         </t>
    <phoneticPr fontId="3"/>
  </si>
  <si>
    <t xml:space="preserve">社債（非公募）                          </t>
    <phoneticPr fontId="3"/>
  </si>
  <si>
    <t xml:space="preserve">社債（非公募）うち一般担保付                      </t>
    <phoneticPr fontId="3"/>
  </si>
  <si>
    <t xml:space="preserve">資産担保型社債（公募）                  </t>
    <phoneticPr fontId="3"/>
  </si>
  <si>
    <t xml:space="preserve">資産担保型社債（非公募）                </t>
    <phoneticPr fontId="3"/>
  </si>
  <si>
    <t xml:space="preserve">円建外債（公募）                        </t>
    <phoneticPr fontId="3"/>
  </si>
  <si>
    <t xml:space="preserve">円建外債（非公募）                      </t>
    <phoneticPr fontId="3"/>
  </si>
  <si>
    <t xml:space="preserve">資産担保型社債（非居住者分）（公募）    </t>
    <phoneticPr fontId="3"/>
  </si>
  <si>
    <t xml:space="preserve">その他（非公募）                        </t>
    <phoneticPr fontId="3"/>
  </si>
  <si>
    <t>短期社債振替制度</t>
    <phoneticPr fontId="3"/>
  </si>
  <si>
    <t>CP</t>
    <phoneticPr fontId="3"/>
  </si>
  <si>
    <t>投資信託（公募）</t>
    <phoneticPr fontId="3"/>
  </si>
  <si>
    <t>注1　株式等振替制度及び外国株券等保管振替決済制度における「口座残高（時価総額）」は、「基準日時点における各銘柄の口座残高（株数/口数）」に「同日における各銘柄の終値（終値が付かなかった場合には、直近の終値とする）」を乗じて算出した数値を合計したものである。</t>
    <phoneticPr fontId="3"/>
  </si>
  <si>
    <t>　　　する場合がある。</t>
    <phoneticPr fontId="3"/>
  </si>
  <si>
    <t>注2　参考：2019年4月末時点の契約型私募投信の銘柄数及び純資産残高（投資信託協会公表）6,348銘柄、92,201,408百万円</t>
    <phoneticPr fontId="3"/>
  </si>
  <si>
    <t>注2　参考：2019年5月末時点の契約型私募投信の銘柄数及び純資産残高（投資信託協会公表）6,386銘柄、92,024,270百万円</t>
    <phoneticPr fontId="3"/>
  </si>
  <si>
    <t>全制度口座残高一覧（2019年5月末時点）</t>
    <phoneticPr fontId="3"/>
  </si>
  <si>
    <t>【口座残高（時価総額）】</t>
    <phoneticPr fontId="3"/>
  </si>
  <si>
    <t>証券種類</t>
    <phoneticPr fontId="3"/>
  </si>
  <si>
    <t>銘　柄　数</t>
    <phoneticPr fontId="3"/>
  </si>
  <si>
    <t>合　　計</t>
    <phoneticPr fontId="3"/>
  </si>
  <si>
    <t>証券</t>
    <phoneticPr fontId="3"/>
  </si>
  <si>
    <t>銀行</t>
    <phoneticPr fontId="3"/>
  </si>
  <si>
    <t>信託銀行</t>
    <phoneticPr fontId="3"/>
  </si>
  <si>
    <t>そ　の　他</t>
    <phoneticPr fontId="3"/>
  </si>
  <si>
    <t>（百万円）</t>
    <phoneticPr fontId="3"/>
  </si>
  <si>
    <t>株式等振替制度</t>
    <phoneticPr fontId="3"/>
  </si>
  <si>
    <t>株式</t>
    <phoneticPr fontId="3"/>
  </si>
  <si>
    <t>新株予約権付社債</t>
    <phoneticPr fontId="3"/>
  </si>
  <si>
    <t>新株予約権</t>
    <phoneticPr fontId="3"/>
  </si>
  <si>
    <t>優先出資</t>
    <phoneticPr fontId="3"/>
  </si>
  <si>
    <t>投資信託受益権（ETF）</t>
    <phoneticPr fontId="3"/>
  </si>
  <si>
    <t>受益証券発行信託の受益権</t>
    <phoneticPr fontId="3"/>
  </si>
  <si>
    <t>外国株券等保管振替決済制度</t>
    <phoneticPr fontId="3"/>
  </si>
  <si>
    <t>外国株券等</t>
    <phoneticPr fontId="3"/>
  </si>
  <si>
    <t>一般債振替制度</t>
    <phoneticPr fontId="3"/>
  </si>
  <si>
    <t xml:space="preserve">地方債（公募）                        </t>
    <phoneticPr fontId="3"/>
  </si>
  <si>
    <t xml:space="preserve">地方債（非公募）                        </t>
    <phoneticPr fontId="3"/>
  </si>
  <si>
    <t xml:space="preserve">政府保証債（公募）                      </t>
    <phoneticPr fontId="3"/>
  </si>
  <si>
    <t xml:space="preserve">財投機関債等(公募)                           </t>
    <phoneticPr fontId="3"/>
  </si>
  <si>
    <t xml:space="preserve">非公募特別債                            </t>
    <phoneticPr fontId="3"/>
  </si>
  <si>
    <t xml:space="preserve">地方公社債（公募）                      </t>
    <phoneticPr fontId="3"/>
  </si>
  <si>
    <t xml:space="preserve">金融債（割引）                          </t>
    <phoneticPr fontId="3"/>
  </si>
  <si>
    <t xml:space="preserve">社債（公募）                            </t>
    <phoneticPr fontId="3"/>
  </si>
  <si>
    <t xml:space="preserve">社債（公募）うち一般担保付                         </t>
    <phoneticPr fontId="3"/>
  </si>
  <si>
    <t xml:space="preserve">社債（非公募）                          </t>
    <phoneticPr fontId="3"/>
  </si>
  <si>
    <t xml:space="preserve">社債（非公募）うち一般担保付                      </t>
    <phoneticPr fontId="3"/>
  </si>
  <si>
    <t xml:space="preserve">資産担保型社債（公募）                  </t>
    <phoneticPr fontId="3"/>
  </si>
  <si>
    <t xml:space="preserve">資産担保型社債（非公募）                </t>
    <phoneticPr fontId="3"/>
  </si>
  <si>
    <t xml:space="preserve">円建外債（公募）                        </t>
    <phoneticPr fontId="3"/>
  </si>
  <si>
    <t xml:space="preserve">円建外債（非公募）                      </t>
    <phoneticPr fontId="3"/>
  </si>
  <si>
    <t>投資信託（私募）</t>
    <phoneticPr fontId="3"/>
  </si>
  <si>
    <t>全制度口座残高一覧（2019年6月末時点）</t>
    <phoneticPr fontId="3"/>
  </si>
  <si>
    <t>銘　柄　数</t>
    <phoneticPr fontId="3"/>
  </si>
  <si>
    <t>合　　計</t>
    <phoneticPr fontId="3"/>
  </si>
  <si>
    <t>証券</t>
    <phoneticPr fontId="3"/>
  </si>
  <si>
    <t>（百万円）</t>
    <phoneticPr fontId="3"/>
  </si>
  <si>
    <t>（百万円）</t>
    <phoneticPr fontId="3"/>
  </si>
  <si>
    <t>株式等振替制度</t>
    <phoneticPr fontId="3"/>
  </si>
  <si>
    <t>株式</t>
    <phoneticPr fontId="3"/>
  </si>
  <si>
    <t>新株予約権付社債</t>
    <phoneticPr fontId="3"/>
  </si>
  <si>
    <t>優先出資</t>
    <phoneticPr fontId="3"/>
  </si>
  <si>
    <t>投資口</t>
    <phoneticPr fontId="3"/>
  </si>
  <si>
    <t>投資信託受益権（ETF）</t>
    <phoneticPr fontId="3"/>
  </si>
  <si>
    <t>受益証券発行信託の受益権</t>
    <phoneticPr fontId="3"/>
  </si>
  <si>
    <t>外国株券等保管振替決済制度</t>
    <phoneticPr fontId="3"/>
  </si>
  <si>
    <t>外国株券等</t>
    <phoneticPr fontId="3"/>
  </si>
  <si>
    <t xml:space="preserve">地方債（非公募）                        </t>
    <phoneticPr fontId="3"/>
  </si>
  <si>
    <t xml:space="preserve">政府保証債（公募）                      </t>
    <phoneticPr fontId="3"/>
  </si>
  <si>
    <t xml:space="preserve">地方公社債（公募）                      </t>
    <phoneticPr fontId="3"/>
  </si>
  <si>
    <t xml:space="preserve">金融債（利付）                          </t>
    <phoneticPr fontId="3"/>
  </si>
  <si>
    <t xml:space="preserve">社債（非公募）                          </t>
    <phoneticPr fontId="3"/>
  </si>
  <si>
    <t xml:space="preserve">資産担保型社債（公募）                  </t>
    <phoneticPr fontId="3"/>
  </si>
  <si>
    <t xml:space="preserve">円建外債（非公募）                      </t>
    <phoneticPr fontId="3"/>
  </si>
  <si>
    <t xml:space="preserve">資産担保型社債（非居住者分）（公募）    </t>
    <phoneticPr fontId="3"/>
  </si>
  <si>
    <t xml:space="preserve">資産担保型社債（非居住者分）（非公募）  </t>
    <phoneticPr fontId="3"/>
  </si>
  <si>
    <t xml:space="preserve">その他（公募）                          </t>
    <phoneticPr fontId="3"/>
  </si>
  <si>
    <t>短期社債振替制度</t>
    <phoneticPr fontId="3"/>
  </si>
  <si>
    <t>CP</t>
    <phoneticPr fontId="3"/>
  </si>
  <si>
    <t>投資信託振替制度</t>
    <phoneticPr fontId="3"/>
  </si>
  <si>
    <t>投資信託（公募）</t>
    <phoneticPr fontId="3"/>
  </si>
  <si>
    <t>投資信託（私募）</t>
    <phoneticPr fontId="3"/>
  </si>
  <si>
    <t>N/A</t>
    <phoneticPr fontId="3"/>
  </si>
  <si>
    <t>注1　株式等振替制度及び外国株券等保管振替決済制度における「口座残高（時価総額）」は、「基準日時点における各銘柄の口座残高（株数/口数）」に「同日における各銘柄の終値（終値が付かなかった場合には、直近の終値とする）」を乗じて算出した数値を合計したものである。</t>
    <phoneticPr fontId="3"/>
  </si>
  <si>
    <t>　　　する場合がある。</t>
    <phoneticPr fontId="3"/>
  </si>
  <si>
    <t>注2　参考：2019年6月末時点の契約型私募投信の銘柄数及び純資産残高（投資信託協会公表）6,446銘柄、93,267,129百万円</t>
    <phoneticPr fontId="3"/>
  </si>
  <si>
    <t>全制度口座残高一覧（2019年7月末時点）</t>
    <phoneticPr fontId="3"/>
  </si>
  <si>
    <t>制　　度</t>
    <phoneticPr fontId="3"/>
  </si>
  <si>
    <t>銘　柄　数</t>
    <phoneticPr fontId="3"/>
  </si>
  <si>
    <t>合　　計</t>
    <phoneticPr fontId="3"/>
  </si>
  <si>
    <t>証券</t>
    <phoneticPr fontId="3"/>
  </si>
  <si>
    <t>（百万円）</t>
    <phoneticPr fontId="3"/>
  </si>
  <si>
    <t>（百万円）</t>
    <phoneticPr fontId="3"/>
  </si>
  <si>
    <t>（百万円）</t>
    <phoneticPr fontId="3"/>
  </si>
  <si>
    <t>株式等振替制度</t>
    <phoneticPr fontId="3"/>
  </si>
  <si>
    <t>新株予約権</t>
    <phoneticPr fontId="3"/>
  </si>
  <si>
    <t>優先出資</t>
    <phoneticPr fontId="3"/>
  </si>
  <si>
    <t>投資信託受益権（ETF）</t>
    <phoneticPr fontId="3"/>
  </si>
  <si>
    <t>外国株券等保管振替決済制度</t>
    <phoneticPr fontId="3"/>
  </si>
  <si>
    <t>一般債振替制度</t>
    <phoneticPr fontId="3"/>
  </si>
  <si>
    <t xml:space="preserve">地方債（非公募）                        </t>
    <phoneticPr fontId="3"/>
  </si>
  <si>
    <t xml:space="preserve">地方公社債（公募）                      </t>
    <phoneticPr fontId="3"/>
  </si>
  <si>
    <t xml:space="preserve">金融債（割引）                          </t>
    <phoneticPr fontId="3"/>
  </si>
  <si>
    <t xml:space="preserve">金融債（利付）                          </t>
    <phoneticPr fontId="3"/>
  </si>
  <si>
    <t xml:space="preserve">社債（公募）うち一般担保付                         </t>
    <phoneticPr fontId="3"/>
  </si>
  <si>
    <t xml:space="preserve">社債（非公募）                          </t>
    <phoneticPr fontId="3"/>
  </si>
  <si>
    <t xml:space="preserve">円建外債（非公募）                      </t>
    <phoneticPr fontId="3"/>
  </si>
  <si>
    <t xml:space="preserve">その他（公募）                          </t>
    <phoneticPr fontId="3"/>
  </si>
  <si>
    <t>CP</t>
    <phoneticPr fontId="3"/>
  </si>
  <si>
    <t>投資信託（公募）</t>
    <phoneticPr fontId="3"/>
  </si>
  <si>
    <t>投資信託（私募）</t>
    <phoneticPr fontId="3"/>
  </si>
  <si>
    <t>　　　する場合がある。</t>
    <phoneticPr fontId="3"/>
  </si>
  <si>
    <t>注2　参考：2019年7月末時点の契約型私募投信の銘柄数及び純資産残高（投資信託協会公表）6,477銘柄、94,304,334百万円</t>
    <phoneticPr fontId="3"/>
  </si>
  <si>
    <t>全制度口座残高一覧（2019年8月末時点）</t>
    <phoneticPr fontId="3"/>
  </si>
  <si>
    <t>【口座残高（時価総額）】</t>
    <phoneticPr fontId="3"/>
  </si>
  <si>
    <t>制　　度</t>
    <phoneticPr fontId="3"/>
  </si>
  <si>
    <t>証券種類</t>
    <phoneticPr fontId="3"/>
  </si>
  <si>
    <t>銘　柄　数</t>
    <phoneticPr fontId="3"/>
  </si>
  <si>
    <t>合　　計</t>
    <phoneticPr fontId="3"/>
  </si>
  <si>
    <t>信託銀行</t>
    <phoneticPr fontId="3"/>
  </si>
  <si>
    <t>そ　の　他</t>
    <phoneticPr fontId="3"/>
  </si>
  <si>
    <t>（百万円）</t>
    <phoneticPr fontId="3"/>
  </si>
  <si>
    <t>（百万円）</t>
    <phoneticPr fontId="3"/>
  </si>
  <si>
    <t>（百万円）</t>
    <phoneticPr fontId="3"/>
  </si>
  <si>
    <t>株式等振替制度</t>
    <phoneticPr fontId="3"/>
  </si>
  <si>
    <t>株式</t>
    <phoneticPr fontId="3"/>
  </si>
  <si>
    <t>新株予約権付社債</t>
    <phoneticPr fontId="3"/>
  </si>
  <si>
    <t>新株予約権</t>
    <phoneticPr fontId="3"/>
  </si>
  <si>
    <t>優先出資</t>
    <phoneticPr fontId="3"/>
  </si>
  <si>
    <t>投資口</t>
    <phoneticPr fontId="3"/>
  </si>
  <si>
    <t>投資信託受益権（ETF）</t>
    <phoneticPr fontId="3"/>
  </si>
  <si>
    <t>受益証券発行信託の受益権</t>
    <phoneticPr fontId="3"/>
  </si>
  <si>
    <t>外国株券等保管振替決済制度</t>
    <phoneticPr fontId="3"/>
  </si>
  <si>
    <t>外国株券等</t>
    <phoneticPr fontId="3"/>
  </si>
  <si>
    <t>一般債振替制度</t>
    <phoneticPr fontId="3"/>
  </si>
  <si>
    <t xml:space="preserve">地方債（公募）                        </t>
    <phoneticPr fontId="3"/>
  </si>
  <si>
    <t xml:space="preserve">地方債（非公募）                        </t>
    <phoneticPr fontId="3"/>
  </si>
  <si>
    <t xml:space="preserve">政府保証債（公募）                      </t>
    <phoneticPr fontId="3"/>
  </si>
  <si>
    <t xml:space="preserve">非公募特別債                            </t>
    <phoneticPr fontId="3"/>
  </si>
  <si>
    <t xml:space="preserve">金融債（割引）                          </t>
    <phoneticPr fontId="3"/>
  </si>
  <si>
    <t xml:space="preserve">金融債（利付）                          </t>
    <phoneticPr fontId="3"/>
  </si>
  <si>
    <t xml:space="preserve">社債（公募）                            </t>
    <phoneticPr fontId="3"/>
  </si>
  <si>
    <t xml:space="preserve">社債（公募）うち一般担保付                         </t>
    <phoneticPr fontId="3"/>
  </si>
  <si>
    <t xml:space="preserve">社債（非公募）                          </t>
    <phoneticPr fontId="3"/>
  </si>
  <si>
    <t xml:space="preserve">社債（非公募）うち一般担保付                      </t>
    <phoneticPr fontId="3"/>
  </si>
  <si>
    <t xml:space="preserve">資産担保型社債（公募）                  </t>
    <phoneticPr fontId="3"/>
  </si>
  <si>
    <t xml:space="preserve">資産担保型社債（非公募）                </t>
    <phoneticPr fontId="3"/>
  </si>
  <si>
    <t xml:space="preserve">資産担保型社債（非居住者分）（非公募）  </t>
    <phoneticPr fontId="3"/>
  </si>
  <si>
    <t xml:space="preserve">その他（公募）                          </t>
    <phoneticPr fontId="3"/>
  </si>
  <si>
    <t xml:space="preserve">その他（非公募）                        </t>
    <phoneticPr fontId="3"/>
  </si>
  <si>
    <t>短期社債振替制度</t>
    <phoneticPr fontId="3"/>
  </si>
  <si>
    <t>CP</t>
    <phoneticPr fontId="3"/>
  </si>
  <si>
    <t>投資信託振替制度</t>
    <phoneticPr fontId="3"/>
  </si>
  <si>
    <t>N/A</t>
    <phoneticPr fontId="3"/>
  </si>
  <si>
    <t>参考：2019年8月末時点の契約型私募投信の銘柄数及び純資産残高（投資信託協会公表）6,523銘柄、94,784,595百万円</t>
    <phoneticPr fontId="3"/>
  </si>
  <si>
    <t>（百万円）</t>
    <phoneticPr fontId="3"/>
  </si>
  <si>
    <t>株式</t>
    <phoneticPr fontId="3"/>
  </si>
  <si>
    <t>新株予約権付社債</t>
    <phoneticPr fontId="3"/>
  </si>
  <si>
    <t>新株予約権</t>
    <phoneticPr fontId="3"/>
  </si>
  <si>
    <t>投資口</t>
    <phoneticPr fontId="3"/>
  </si>
  <si>
    <t>投資信託受益権（ETF）</t>
    <phoneticPr fontId="3"/>
  </si>
  <si>
    <t xml:space="preserve">地方債（公募）                        </t>
    <phoneticPr fontId="3"/>
  </si>
  <si>
    <t>参考：2019年9月末時点の契約型私募投信の銘柄数及び純資産残高（投資信託協会公表）6,575銘柄、95,918,123百万円</t>
    <rPh sb="10" eb="11">
      <t>マツ</t>
    </rPh>
    <phoneticPr fontId="3"/>
  </si>
  <si>
    <t>（百万円）</t>
    <phoneticPr fontId="3"/>
  </si>
  <si>
    <t>受益証券発行信託の受益権</t>
    <phoneticPr fontId="3"/>
  </si>
  <si>
    <t>外国株券等保管振替決済制度</t>
    <phoneticPr fontId="3"/>
  </si>
  <si>
    <t>全制度口座残高一覧（2019年9月末時点）</t>
    <phoneticPr fontId="3"/>
  </si>
  <si>
    <t>制　　度</t>
    <phoneticPr fontId="3"/>
  </si>
  <si>
    <t>証券種類</t>
    <phoneticPr fontId="3"/>
  </si>
  <si>
    <t>銘　柄　数</t>
    <phoneticPr fontId="3"/>
  </si>
  <si>
    <t>合　　計</t>
    <phoneticPr fontId="3"/>
  </si>
  <si>
    <t>証券</t>
    <phoneticPr fontId="3"/>
  </si>
  <si>
    <t>銀行</t>
    <phoneticPr fontId="3"/>
  </si>
  <si>
    <t>信託銀行</t>
    <phoneticPr fontId="3"/>
  </si>
  <si>
    <t>そ　の　他</t>
    <phoneticPr fontId="3"/>
  </si>
  <si>
    <t>外国株券等</t>
    <phoneticPr fontId="3"/>
  </si>
  <si>
    <t xml:space="preserve">地方債（非公募）                        </t>
    <phoneticPr fontId="3"/>
  </si>
  <si>
    <t xml:space="preserve">政府保証債（公募）                      </t>
    <phoneticPr fontId="3"/>
  </si>
  <si>
    <t xml:space="preserve">財投機関債等(公募)                           </t>
    <phoneticPr fontId="3"/>
  </si>
  <si>
    <t xml:space="preserve">非公募特別債                            </t>
    <phoneticPr fontId="3"/>
  </si>
  <si>
    <t xml:space="preserve">地方公社債（公募）                      </t>
    <phoneticPr fontId="3"/>
  </si>
  <si>
    <t xml:space="preserve">地方公社債（非公募）                    </t>
    <phoneticPr fontId="3"/>
  </si>
  <si>
    <t xml:space="preserve">金融債（割引）                          </t>
    <phoneticPr fontId="3"/>
  </si>
  <si>
    <t xml:space="preserve">金融債（利付）                          </t>
    <phoneticPr fontId="3"/>
  </si>
  <si>
    <t xml:space="preserve">社債（公募）                            </t>
    <phoneticPr fontId="3"/>
  </si>
  <si>
    <t xml:space="preserve">社債（公募）うち一般担保付                         </t>
    <phoneticPr fontId="3"/>
  </si>
  <si>
    <t xml:space="preserve">社債（非公募）                          </t>
    <phoneticPr fontId="3"/>
  </si>
  <si>
    <t xml:space="preserve">社債（非公募）うち一般担保付                      </t>
    <phoneticPr fontId="3"/>
  </si>
  <si>
    <t xml:space="preserve">資産担保型社債（公募）                  </t>
    <phoneticPr fontId="3"/>
  </si>
  <si>
    <t xml:space="preserve">資産担保型社債（非公募）                </t>
    <phoneticPr fontId="3"/>
  </si>
  <si>
    <t xml:space="preserve">円建外債（公募）                        </t>
    <phoneticPr fontId="3"/>
  </si>
  <si>
    <t xml:space="preserve">円建外債（非公募）                      </t>
    <phoneticPr fontId="3"/>
  </si>
  <si>
    <t xml:space="preserve">資産担保型社債（非居住者分）（非公募）  </t>
    <phoneticPr fontId="3"/>
  </si>
  <si>
    <t xml:space="preserve">その他（公募）                          </t>
    <phoneticPr fontId="3"/>
  </si>
  <si>
    <t xml:space="preserve">その他（非公募）                        </t>
    <phoneticPr fontId="3"/>
  </si>
  <si>
    <t>CP</t>
    <phoneticPr fontId="3"/>
  </si>
  <si>
    <t>投資信託振替制度</t>
    <phoneticPr fontId="3"/>
  </si>
  <si>
    <t>投資信託（公募）</t>
    <phoneticPr fontId="3"/>
  </si>
  <si>
    <t>投資信託（私募）</t>
    <phoneticPr fontId="3"/>
  </si>
  <si>
    <t>N/A</t>
    <phoneticPr fontId="12"/>
  </si>
  <si>
    <t>注1　株式等振替制度及び外国株券等保管振替決済制度における「口座残高（時価総額）」は、「基準日時点における各銘柄の口座残高（株数/口数）」に「同日における各銘柄の終値（終値が付かなかった場合には、直近の終値とする）」を乗じて算出した数値を合計したものである。</t>
    <phoneticPr fontId="3"/>
  </si>
  <si>
    <t>　　　する場合がある。</t>
    <phoneticPr fontId="3"/>
  </si>
  <si>
    <t>全制度口座残高一覧（2019年10月末時点）</t>
    <phoneticPr fontId="3"/>
  </si>
  <si>
    <t>制　　度</t>
    <phoneticPr fontId="3"/>
  </si>
  <si>
    <t>銘　柄　数</t>
    <phoneticPr fontId="3"/>
  </si>
  <si>
    <t>証券</t>
    <phoneticPr fontId="3"/>
  </si>
  <si>
    <t>そ　の　他</t>
    <phoneticPr fontId="3"/>
  </si>
  <si>
    <t>（百万円）</t>
    <phoneticPr fontId="3"/>
  </si>
  <si>
    <t>株式等振替制度</t>
    <phoneticPr fontId="3"/>
  </si>
  <si>
    <t>株式</t>
    <phoneticPr fontId="3"/>
  </si>
  <si>
    <t>N/A</t>
    <phoneticPr fontId="13"/>
  </si>
  <si>
    <t>注2　参考：2019年10月末時点の契約型私募投信の銘柄数及び純資産残高（投資信託協会公表）6,641銘柄、97,335,281百万円</t>
    <rPh sb="14" eb="15">
      <t>マツ</t>
    </rPh>
    <phoneticPr fontId="3"/>
  </si>
  <si>
    <t>全制度口座残高一覧（2019年11月末時点）</t>
    <phoneticPr fontId="3"/>
  </si>
  <si>
    <t>【口座残高（時価総額）】</t>
    <phoneticPr fontId="3"/>
  </si>
  <si>
    <t>制　　度</t>
    <phoneticPr fontId="3"/>
  </si>
  <si>
    <t>証券種類</t>
    <phoneticPr fontId="3"/>
  </si>
  <si>
    <t>銘　柄　数</t>
    <phoneticPr fontId="3"/>
  </si>
  <si>
    <t>合　　計</t>
    <phoneticPr fontId="3"/>
  </si>
  <si>
    <t>証券</t>
    <phoneticPr fontId="3"/>
  </si>
  <si>
    <t>銀行</t>
    <phoneticPr fontId="3"/>
  </si>
  <si>
    <t>信託銀行</t>
    <phoneticPr fontId="3"/>
  </si>
  <si>
    <t>そ　の　他</t>
    <phoneticPr fontId="3"/>
  </si>
  <si>
    <t>（百万円）</t>
    <phoneticPr fontId="3"/>
  </si>
  <si>
    <t>株式</t>
    <phoneticPr fontId="3"/>
  </si>
  <si>
    <t>新株予約権付社債</t>
    <phoneticPr fontId="3"/>
  </si>
  <si>
    <t>新株予約権</t>
    <phoneticPr fontId="3"/>
  </si>
  <si>
    <t>優先出資</t>
    <phoneticPr fontId="3"/>
  </si>
  <si>
    <t>投資口</t>
    <phoneticPr fontId="3"/>
  </si>
  <si>
    <t>投資信託受益権（ETF）</t>
    <phoneticPr fontId="3"/>
  </si>
  <si>
    <t>受益証券発行信託の受益権</t>
    <phoneticPr fontId="3"/>
  </si>
  <si>
    <t>外国株券等保管振替決済制度</t>
    <phoneticPr fontId="3"/>
  </si>
  <si>
    <t>外国株券等</t>
    <phoneticPr fontId="3"/>
  </si>
  <si>
    <t>一般債振替制度</t>
    <phoneticPr fontId="3"/>
  </si>
  <si>
    <t xml:space="preserve">地方債（公募）                        </t>
    <phoneticPr fontId="3"/>
  </si>
  <si>
    <t xml:space="preserve">地方債（非公募）                        </t>
    <phoneticPr fontId="3"/>
  </si>
  <si>
    <t xml:space="preserve">非公募特別債                            </t>
    <phoneticPr fontId="3"/>
  </si>
  <si>
    <t xml:space="preserve">金融債（割引）                          </t>
    <phoneticPr fontId="3"/>
  </si>
  <si>
    <t xml:space="preserve">金融債（利付）                          </t>
    <phoneticPr fontId="3"/>
  </si>
  <si>
    <t xml:space="preserve">社債（公募）                            </t>
    <phoneticPr fontId="3"/>
  </si>
  <si>
    <t xml:space="preserve">社債（非公募）                          </t>
    <phoneticPr fontId="3"/>
  </si>
  <si>
    <t xml:space="preserve">社債（非公募）うち一般担保付                      </t>
    <phoneticPr fontId="3"/>
  </si>
  <si>
    <t xml:space="preserve">資産担保型社債（公募）                  </t>
    <phoneticPr fontId="3"/>
  </si>
  <si>
    <t xml:space="preserve">資産担保型社債（非公募）                </t>
    <phoneticPr fontId="3"/>
  </si>
  <si>
    <t xml:space="preserve">円建外債（公募）                        </t>
    <phoneticPr fontId="3"/>
  </si>
  <si>
    <t xml:space="preserve">円建外債（非公募）                      </t>
    <phoneticPr fontId="3"/>
  </si>
  <si>
    <t xml:space="preserve">資産担保型社債（非居住者分）（公募）    </t>
    <phoneticPr fontId="3"/>
  </si>
  <si>
    <t xml:space="preserve">資産担保型社債（非居住者分）（非公募）  </t>
    <phoneticPr fontId="3"/>
  </si>
  <si>
    <t xml:space="preserve">その他（公募）                          </t>
    <phoneticPr fontId="3"/>
  </si>
  <si>
    <t xml:space="preserve">その他（非公募）                        </t>
    <phoneticPr fontId="3"/>
  </si>
  <si>
    <t>短期社債振替制度</t>
    <phoneticPr fontId="3"/>
  </si>
  <si>
    <t>CP</t>
    <phoneticPr fontId="3"/>
  </si>
  <si>
    <t>投資信託振替制度</t>
    <phoneticPr fontId="3"/>
  </si>
  <si>
    <t>投資信託（公募）</t>
    <phoneticPr fontId="3"/>
  </si>
  <si>
    <t>投資信託（私募）</t>
    <phoneticPr fontId="3"/>
  </si>
  <si>
    <t>N/A</t>
    <phoneticPr fontId="3"/>
  </si>
  <si>
    <t>注1　株式等振替制度及び外国株券等保管振替決済制度における「口座残高（時価総額）」は、「基準日時点における各銘柄の口座残高（株数/口数）」に「同日における各銘柄の終値（終値が付かなかった場合には、直近の終値とする）」を乗じて算出した数値を合計したものである。</t>
    <phoneticPr fontId="3"/>
  </si>
  <si>
    <t>　　　する場合がある。</t>
    <phoneticPr fontId="3"/>
  </si>
  <si>
    <t>注2　参考：2019年11月末時点の契約型私募投信の銘柄数及び純資産残高（投資信託協会公表）6,734銘柄、98,253,287百万円</t>
    <rPh sb="14" eb="15">
      <t>マツ</t>
    </rPh>
    <phoneticPr fontId="3"/>
  </si>
  <si>
    <t>全制度口座残高一覧（2019年12月末時点）</t>
    <phoneticPr fontId="3"/>
  </si>
  <si>
    <t>【口座残高（時価総額）】</t>
    <phoneticPr fontId="3"/>
  </si>
  <si>
    <t>制　　度</t>
    <phoneticPr fontId="3"/>
  </si>
  <si>
    <t>証券種類</t>
    <phoneticPr fontId="3"/>
  </si>
  <si>
    <t>銘　柄　数</t>
    <phoneticPr fontId="3"/>
  </si>
  <si>
    <t>合　　計</t>
    <phoneticPr fontId="3"/>
  </si>
  <si>
    <t>証券</t>
    <phoneticPr fontId="3"/>
  </si>
  <si>
    <t>銀行</t>
    <phoneticPr fontId="3"/>
  </si>
  <si>
    <t>信託銀行</t>
    <phoneticPr fontId="3"/>
  </si>
  <si>
    <t>そ　の　他</t>
    <phoneticPr fontId="3"/>
  </si>
  <si>
    <t>（百万円）</t>
    <phoneticPr fontId="3"/>
  </si>
  <si>
    <t>株式等振替制度</t>
    <phoneticPr fontId="3"/>
  </si>
  <si>
    <t>株式</t>
    <phoneticPr fontId="3"/>
  </si>
  <si>
    <t>新株予約権</t>
    <phoneticPr fontId="3"/>
  </si>
  <si>
    <t>優先出資</t>
    <phoneticPr fontId="3"/>
  </si>
  <si>
    <t>投資口</t>
    <phoneticPr fontId="3"/>
  </si>
  <si>
    <t>投資信託受益権（ETF）</t>
    <phoneticPr fontId="3"/>
  </si>
  <si>
    <t>受益証券発行信託の受益権</t>
    <phoneticPr fontId="3"/>
  </si>
  <si>
    <t>外国株券等保管振替決済制度</t>
    <phoneticPr fontId="3"/>
  </si>
  <si>
    <t>外国株券等</t>
    <phoneticPr fontId="3"/>
  </si>
  <si>
    <t>一般債振替制度</t>
    <phoneticPr fontId="3"/>
  </si>
  <si>
    <t xml:space="preserve">地方債（公募）                        </t>
    <phoneticPr fontId="3"/>
  </si>
  <si>
    <t xml:space="preserve">地方債（非公募）                        </t>
    <phoneticPr fontId="3"/>
  </si>
  <si>
    <t xml:space="preserve">財投機関債等(公募)                           </t>
    <phoneticPr fontId="3"/>
  </si>
  <si>
    <t xml:space="preserve">非公募特別債                            </t>
    <phoneticPr fontId="3"/>
  </si>
  <si>
    <t xml:space="preserve">地方公社債（公募）                      </t>
    <phoneticPr fontId="3"/>
  </si>
  <si>
    <t xml:space="preserve">地方公社債（非公募）                    </t>
    <phoneticPr fontId="3"/>
  </si>
  <si>
    <t xml:space="preserve">金融債（割引）                          </t>
    <phoneticPr fontId="3"/>
  </si>
  <si>
    <t xml:space="preserve">金融債（利付）                          </t>
    <phoneticPr fontId="3"/>
  </si>
  <si>
    <t xml:space="preserve">社債（公募）                            </t>
    <phoneticPr fontId="3"/>
  </si>
  <si>
    <t xml:space="preserve">社債（公募）うち一般担保付                         </t>
    <phoneticPr fontId="3"/>
  </si>
  <si>
    <t xml:space="preserve">社債（非公募）                          </t>
    <phoneticPr fontId="3"/>
  </si>
  <si>
    <t xml:space="preserve">社債（非公募）うち一般担保付                      </t>
    <phoneticPr fontId="3"/>
  </si>
  <si>
    <t xml:space="preserve">資産担保型社債（公募）                  </t>
    <phoneticPr fontId="3"/>
  </si>
  <si>
    <t xml:space="preserve">資産担保型社債（非公募）                </t>
    <phoneticPr fontId="3"/>
  </si>
  <si>
    <t xml:space="preserve">円建外債（公募）                        </t>
    <phoneticPr fontId="3"/>
  </si>
  <si>
    <t xml:space="preserve">円建外債（非公募）                      </t>
    <phoneticPr fontId="3"/>
  </si>
  <si>
    <t xml:space="preserve">資産担保型社債（非居住者分）（公募）    </t>
    <phoneticPr fontId="3"/>
  </si>
  <si>
    <t xml:space="preserve">資産担保型社債（非居住者分）（非公募）  </t>
    <phoneticPr fontId="3"/>
  </si>
  <si>
    <t xml:space="preserve">その他（公募）                          </t>
    <phoneticPr fontId="3"/>
  </si>
  <si>
    <t>短期社債振替制度</t>
    <phoneticPr fontId="3"/>
  </si>
  <si>
    <t>CP</t>
    <phoneticPr fontId="3"/>
  </si>
  <si>
    <t>投資信託（公募）</t>
    <phoneticPr fontId="3"/>
  </si>
  <si>
    <t>N/A</t>
    <phoneticPr fontId="14"/>
  </si>
  <si>
    <t>N/A</t>
    <phoneticPr fontId="14"/>
  </si>
  <si>
    <t>N/A</t>
    <phoneticPr fontId="14"/>
  </si>
  <si>
    <t>注1　株式等振替制度及び外国株券等保管振替決済制度における「口座残高（時価総額）」は、「基準日時点における各銘柄の口座残高（株数/口数）」に「同日における各銘柄の終値（終値が付かなかった場合には、直近の終値とする）」を乗じて算出した数値を合計したものである。</t>
    <phoneticPr fontId="3"/>
  </si>
  <si>
    <t>　　　する場合がある。</t>
    <phoneticPr fontId="3"/>
  </si>
  <si>
    <t>注2　参考：2020年12月末時点の契約型私募投信の銘柄数及び純資産残高（投資信託協会公表）6,794銘柄、98,934,395百万円</t>
    <rPh sb="14" eb="15">
      <t>マツ</t>
    </rPh>
    <phoneticPr fontId="3"/>
  </si>
  <si>
    <t>全制度口座残高一覧（2020年1月末時点）</t>
    <phoneticPr fontId="3"/>
  </si>
  <si>
    <t>【口座残高（時価総額）】</t>
    <phoneticPr fontId="3"/>
  </si>
  <si>
    <t>証券種類</t>
    <phoneticPr fontId="3"/>
  </si>
  <si>
    <t>銘　柄　数</t>
    <phoneticPr fontId="3"/>
  </si>
  <si>
    <t>合　　計</t>
    <phoneticPr fontId="3"/>
  </si>
  <si>
    <t>株式</t>
    <phoneticPr fontId="3"/>
  </si>
  <si>
    <t>新株予約権付社債</t>
    <phoneticPr fontId="3"/>
  </si>
  <si>
    <t>新株予約権</t>
    <phoneticPr fontId="3"/>
  </si>
  <si>
    <t>優先出資</t>
    <phoneticPr fontId="3"/>
  </si>
  <si>
    <t>投資信託受益権（ETF）</t>
    <phoneticPr fontId="3"/>
  </si>
  <si>
    <t>受益証券発行信託の受益権</t>
    <phoneticPr fontId="3"/>
  </si>
  <si>
    <t>外国株券等保管振替決済制度</t>
    <phoneticPr fontId="3"/>
  </si>
  <si>
    <t>外国株券等</t>
    <phoneticPr fontId="3"/>
  </si>
  <si>
    <t>一般債振替制度</t>
    <phoneticPr fontId="3"/>
  </si>
  <si>
    <t xml:space="preserve">地方債（公募）                        </t>
    <phoneticPr fontId="3"/>
  </si>
  <si>
    <t xml:space="preserve">地方債（非公募）                        </t>
    <phoneticPr fontId="3"/>
  </si>
  <si>
    <t xml:space="preserve">非公募特別債                            </t>
    <phoneticPr fontId="3"/>
  </si>
  <si>
    <t xml:space="preserve">地方公社債（公募）                      </t>
    <phoneticPr fontId="3"/>
  </si>
  <si>
    <t xml:space="preserve">地方公社債（非公募）                    </t>
    <phoneticPr fontId="3"/>
  </si>
  <si>
    <t xml:space="preserve">金融債（割引）                          </t>
    <phoneticPr fontId="3"/>
  </si>
  <si>
    <t xml:space="preserve">金融債（利付）                          </t>
    <phoneticPr fontId="3"/>
  </si>
  <si>
    <t xml:space="preserve">社債（公募）                            </t>
    <phoneticPr fontId="3"/>
  </si>
  <si>
    <t xml:space="preserve">社債（非公募）うち一般担保付                      </t>
    <phoneticPr fontId="3"/>
  </si>
  <si>
    <t xml:space="preserve">資産担保型社債（公募）                  </t>
    <phoneticPr fontId="3"/>
  </si>
  <si>
    <t xml:space="preserve">資産担保型社債（非公募）                </t>
    <phoneticPr fontId="3"/>
  </si>
  <si>
    <t xml:space="preserve">円建外債（非公募）                      </t>
    <phoneticPr fontId="3"/>
  </si>
  <si>
    <t xml:space="preserve">資産担保型社債（非居住者分）（公募）    </t>
    <phoneticPr fontId="3"/>
  </si>
  <si>
    <t xml:space="preserve">資産担保型社債（非居住者分）（非公募）  </t>
    <phoneticPr fontId="3"/>
  </si>
  <si>
    <t xml:space="preserve">その他（公募）                          </t>
    <phoneticPr fontId="3"/>
  </si>
  <si>
    <t xml:space="preserve">その他（非公募）                        </t>
    <phoneticPr fontId="3"/>
  </si>
  <si>
    <t>短期社債振替制度</t>
    <phoneticPr fontId="3"/>
  </si>
  <si>
    <t>CP</t>
    <phoneticPr fontId="3"/>
  </si>
  <si>
    <t>投資信託振替制度</t>
    <phoneticPr fontId="3"/>
  </si>
  <si>
    <t>投資信託（公募）</t>
    <phoneticPr fontId="3"/>
  </si>
  <si>
    <t>投資信託（私募）</t>
    <phoneticPr fontId="3"/>
  </si>
  <si>
    <t>N/A</t>
    <phoneticPr fontId="15"/>
  </si>
  <si>
    <t>N/A</t>
    <phoneticPr fontId="15"/>
  </si>
  <si>
    <t>注1　株式等振替制度及び外国株券等保管振替決済制度における「口座残高（時価総額）」は、「基準日時点における各銘柄の口座残高（株数/口数）」に「同日における各銘柄の終値（終値が付かなかった場合には、直近の終値とする）」を乗じて算出した数値を合計したものである。</t>
    <phoneticPr fontId="3"/>
  </si>
  <si>
    <t>　　　する場合がある。</t>
    <phoneticPr fontId="3"/>
  </si>
  <si>
    <t>注2　参考：2020年1月末時点の契約型私募投信の銘柄数及び純資産残高（投資信託協会公表）6,871銘柄、99,288,487百万円</t>
    <rPh sb="13" eb="14">
      <t>マツ</t>
    </rPh>
    <phoneticPr fontId="3"/>
  </si>
  <si>
    <t>全制度口座残高一覧（2020年2月末時点）</t>
    <phoneticPr fontId="3"/>
  </si>
  <si>
    <t>【口座残高（時価総額）】</t>
    <phoneticPr fontId="3"/>
  </si>
  <si>
    <t>制　　度</t>
    <phoneticPr fontId="3"/>
  </si>
  <si>
    <t>証券種類</t>
    <phoneticPr fontId="3"/>
  </si>
  <si>
    <t>銘　柄　数</t>
    <phoneticPr fontId="3"/>
  </si>
  <si>
    <t>合　　計</t>
    <phoneticPr fontId="3"/>
  </si>
  <si>
    <t>信託銀行</t>
    <phoneticPr fontId="3"/>
  </si>
  <si>
    <t>そ　の　他</t>
    <phoneticPr fontId="3"/>
  </si>
  <si>
    <t>（百万円）</t>
    <phoneticPr fontId="3"/>
  </si>
  <si>
    <t>株式等振替制度</t>
    <phoneticPr fontId="3"/>
  </si>
  <si>
    <t>新株予約権</t>
    <phoneticPr fontId="3"/>
  </si>
  <si>
    <t>優先出資</t>
    <phoneticPr fontId="3"/>
  </si>
  <si>
    <t>投資口</t>
    <phoneticPr fontId="3"/>
  </si>
  <si>
    <t>投資信託受益権（ETF）</t>
    <phoneticPr fontId="3"/>
  </si>
  <si>
    <t>受益証券発行信託の受益権</t>
    <phoneticPr fontId="3"/>
  </si>
  <si>
    <t>外国株券等保管振替決済制度</t>
    <phoneticPr fontId="3"/>
  </si>
  <si>
    <t>外国株券等</t>
    <phoneticPr fontId="3"/>
  </si>
  <si>
    <t>一般債振替制度</t>
    <phoneticPr fontId="3"/>
  </si>
  <si>
    <t xml:space="preserve">地方債（公募）                        </t>
    <phoneticPr fontId="3"/>
  </si>
  <si>
    <t xml:space="preserve">地方債（非公募）                        </t>
    <phoneticPr fontId="3"/>
  </si>
  <si>
    <t xml:space="preserve">政府保証債（公募）                      </t>
    <phoneticPr fontId="3"/>
  </si>
  <si>
    <t xml:space="preserve">非公募特別債                            </t>
    <phoneticPr fontId="3"/>
  </si>
  <si>
    <t xml:space="preserve">地方公社債（公募）                      </t>
    <phoneticPr fontId="3"/>
  </si>
  <si>
    <t xml:space="preserve">地方公社債（非公募）                    </t>
    <phoneticPr fontId="3"/>
  </si>
  <si>
    <t xml:space="preserve">金融債（割引）                          </t>
    <phoneticPr fontId="3"/>
  </si>
  <si>
    <t xml:space="preserve">金融債（利付）                          </t>
    <phoneticPr fontId="3"/>
  </si>
  <si>
    <t xml:space="preserve">社債（公募）                            </t>
    <phoneticPr fontId="3"/>
  </si>
  <si>
    <t xml:space="preserve">社債（公募）うち一般担保付                         </t>
    <phoneticPr fontId="3"/>
  </si>
  <si>
    <t xml:space="preserve">社債（非公募）うち一般担保付                      </t>
    <phoneticPr fontId="3"/>
  </si>
  <si>
    <t xml:space="preserve">資産担保型社債（公募）                  </t>
    <phoneticPr fontId="3"/>
  </si>
  <si>
    <t xml:space="preserve">資産担保型社債（非公募）                </t>
    <phoneticPr fontId="3"/>
  </si>
  <si>
    <t xml:space="preserve">資産担保型社債（非居住者分）（公募）    </t>
    <phoneticPr fontId="3"/>
  </si>
  <si>
    <t xml:space="preserve">資産担保型社債（非居住者分）（非公募）  </t>
    <phoneticPr fontId="3"/>
  </si>
  <si>
    <t xml:space="preserve">その他（公募）                          </t>
    <phoneticPr fontId="3"/>
  </si>
  <si>
    <t xml:space="preserve">その他（非公募）                        </t>
    <phoneticPr fontId="3"/>
  </si>
  <si>
    <t>短期社債振替制度</t>
    <phoneticPr fontId="3"/>
  </si>
  <si>
    <t>CP</t>
    <phoneticPr fontId="3"/>
  </si>
  <si>
    <t>投資信託振替制度</t>
    <phoneticPr fontId="3"/>
  </si>
  <si>
    <t>投資信託（公募）</t>
    <phoneticPr fontId="3"/>
  </si>
  <si>
    <t>投資信託（私募）</t>
    <phoneticPr fontId="3"/>
  </si>
  <si>
    <t>N/A</t>
    <phoneticPr fontId="13"/>
  </si>
  <si>
    <t>注1　株式等振替制度及び外国株券等保管振替決済制度における「口座残高（時価総額）」は、「基準日時点における各銘柄の口座残高（株数/口数）」に「同日における各銘柄の終値（終値が付かなかった場合には、直近の終値とする）」を乗じて算出した数値を合計したものである。</t>
    <phoneticPr fontId="3"/>
  </si>
  <si>
    <t>　　　する場合がある。</t>
    <phoneticPr fontId="3"/>
  </si>
  <si>
    <t>注2　参考：2020年2月末時点の契約型私募投信の銘柄数及び純資産残高（投資信託協会公表）6,931銘柄、99,248,407百万円</t>
    <rPh sb="13" eb="14">
      <t>マツ</t>
    </rPh>
    <phoneticPr fontId="3"/>
  </si>
  <si>
    <t>全制度口座残高一覧（2020年3月末時点）</t>
    <phoneticPr fontId="3"/>
  </si>
  <si>
    <t>【口座残高（時価総額）】</t>
    <phoneticPr fontId="3"/>
  </si>
  <si>
    <t>株式等振替制度</t>
    <phoneticPr fontId="3"/>
  </si>
  <si>
    <t>株式</t>
    <phoneticPr fontId="3"/>
  </si>
  <si>
    <t>新株予約権付社債</t>
    <phoneticPr fontId="3"/>
  </si>
  <si>
    <t>投資口</t>
    <phoneticPr fontId="3"/>
  </si>
  <si>
    <t>受益証券発行信託の受益権</t>
    <phoneticPr fontId="3"/>
  </si>
  <si>
    <t>外国株券等保管振替決済制度</t>
    <phoneticPr fontId="3"/>
  </si>
  <si>
    <t>外国株券等</t>
    <phoneticPr fontId="3"/>
  </si>
  <si>
    <t>一般債振替制度</t>
    <phoneticPr fontId="3"/>
  </si>
  <si>
    <t xml:space="preserve">地方債（公募）                        </t>
    <phoneticPr fontId="3"/>
  </si>
  <si>
    <t xml:space="preserve">地方債（非公募）                        </t>
    <phoneticPr fontId="3"/>
  </si>
  <si>
    <t xml:space="preserve">政府保証債（公募）                      </t>
    <phoneticPr fontId="3"/>
  </si>
  <si>
    <t xml:space="preserve">財投機関債等(公募)                           </t>
    <phoneticPr fontId="3"/>
  </si>
  <si>
    <t xml:space="preserve">非公募特別債                            </t>
    <phoneticPr fontId="3"/>
  </si>
  <si>
    <t xml:space="preserve">地方公社債（公募）                      </t>
    <phoneticPr fontId="3"/>
  </si>
  <si>
    <t xml:space="preserve">地方公社債（非公募）                    </t>
    <phoneticPr fontId="3"/>
  </si>
  <si>
    <t xml:space="preserve">金融債（割引）                          </t>
    <phoneticPr fontId="3"/>
  </si>
  <si>
    <t xml:space="preserve">金融債（利付）                          </t>
    <phoneticPr fontId="3"/>
  </si>
  <si>
    <t xml:space="preserve">社債（公募）                            </t>
    <phoneticPr fontId="3"/>
  </si>
  <si>
    <t xml:space="preserve">社債（公募）うち一般担保付                         </t>
    <phoneticPr fontId="3"/>
  </si>
  <si>
    <t xml:space="preserve">社債（非公募）                          </t>
    <phoneticPr fontId="3"/>
  </si>
  <si>
    <t xml:space="preserve">資産担保型社債（非公募）                </t>
    <phoneticPr fontId="3"/>
  </si>
  <si>
    <t xml:space="preserve">円建外債（公募）                        </t>
    <phoneticPr fontId="3"/>
  </si>
  <si>
    <t xml:space="preserve">円建外債（非公募）                      </t>
    <phoneticPr fontId="3"/>
  </si>
  <si>
    <t xml:space="preserve">資産担保型社債（非居住者分）（公募）    </t>
    <phoneticPr fontId="3"/>
  </si>
  <si>
    <t>CP</t>
    <phoneticPr fontId="3"/>
  </si>
  <si>
    <t>N/A</t>
    <phoneticPr fontId="13"/>
  </si>
  <si>
    <t>　　　する場合がある。</t>
    <phoneticPr fontId="3"/>
  </si>
  <si>
    <t>注2　参考：2020年3月末時点の契約型私募投信の銘柄数及び純資産残高（投資信託協会公表）6,954銘柄、93,607,303百万円</t>
    <rPh sb="13" eb="14">
      <t>マツ</t>
    </rPh>
    <phoneticPr fontId="3"/>
  </si>
  <si>
    <t>注2　参考：2020年4月末時点の契約型私募投信の銘柄数及び純資産残高（投資信託協会公表）6,954銘柄、93,607,303百万円</t>
    <rPh sb="13" eb="14">
      <t>マツ</t>
    </rPh>
    <phoneticPr fontId="3"/>
  </si>
  <si>
    <t>　　　する場合がある。</t>
    <phoneticPr fontId="3"/>
  </si>
  <si>
    <t>注1　株式等振替制度及び外国株券等保管振替決済制度における「口座残高（時価総額）」は、「基準日時点における各銘柄の口座残高（株数/口数）」に「同日における各銘柄の終値（終値が付かなかった場合には、直近の終値とする）」を乗じて算出した数値を合計したものである。</t>
    <phoneticPr fontId="3"/>
  </si>
  <si>
    <t>N/A</t>
    <phoneticPr fontId="13"/>
  </si>
  <si>
    <t>N/A</t>
    <phoneticPr fontId="13"/>
  </si>
  <si>
    <t>投資信託（私募）</t>
    <phoneticPr fontId="3"/>
  </si>
  <si>
    <t>投資信託（公募）</t>
    <phoneticPr fontId="3"/>
  </si>
  <si>
    <t>投資信託振替制度</t>
    <phoneticPr fontId="3"/>
  </si>
  <si>
    <t>CP</t>
    <phoneticPr fontId="3"/>
  </si>
  <si>
    <t>短期社債振替制度</t>
    <phoneticPr fontId="3"/>
  </si>
  <si>
    <t xml:space="preserve">その他（非公募）                        </t>
    <phoneticPr fontId="3"/>
  </si>
  <si>
    <t xml:space="preserve">その他（公募）                          </t>
    <phoneticPr fontId="3"/>
  </si>
  <si>
    <t xml:space="preserve">資産担保型社債（非居住者分）（公募）    </t>
    <phoneticPr fontId="3"/>
  </si>
  <si>
    <t xml:space="preserve">円建外債（非公募）                      </t>
    <phoneticPr fontId="3"/>
  </si>
  <si>
    <t xml:space="preserve">資産担保型社債（非公募）                </t>
    <phoneticPr fontId="3"/>
  </si>
  <si>
    <t xml:space="preserve">資産担保型社債（公募）                  </t>
    <phoneticPr fontId="3"/>
  </si>
  <si>
    <t xml:space="preserve">社債（非公募）うち一般担保付                      </t>
    <phoneticPr fontId="3"/>
  </si>
  <si>
    <t xml:space="preserve">社債（非公募）                          </t>
    <phoneticPr fontId="3"/>
  </si>
  <si>
    <t xml:space="preserve">社債（公募）                            </t>
    <phoneticPr fontId="3"/>
  </si>
  <si>
    <t xml:space="preserve">金融債（利付）                          </t>
    <phoneticPr fontId="3"/>
  </si>
  <si>
    <t xml:space="preserve">地方公社債（非公募）                    </t>
    <phoneticPr fontId="3"/>
  </si>
  <si>
    <t xml:space="preserve">地方公社債（公募）                      </t>
    <phoneticPr fontId="3"/>
  </si>
  <si>
    <t xml:space="preserve">財投機関債等(公募)                           </t>
    <phoneticPr fontId="3"/>
  </si>
  <si>
    <t xml:space="preserve">地方債（非公募）                        </t>
    <phoneticPr fontId="3"/>
  </si>
  <si>
    <t xml:space="preserve">地方債（公募）                        </t>
    <phoneticPr fontId="3"/>
  </si>
  <si>
    <t>一般債振替制度</t>
    <phoneticPr fontId="3"/>
  </si>
  <si>
    <t>外国株券等</t>
    <phoneticPr fontId="3"/>
  </si>
  <si>
    <t>外国株券等保管振替決済制度</t>
    <phoneticPr fontId="3"/>
  </si>
  <si>
    <t>受益証券発行信託の受益権</t>
    <phoneticPr fontId="3"/>
  </si>
  <si>
    <t>投資口</t>
    <phoneticPr fontId="3"/>
  </si>
  <si>
    <t>新株予約権</t>
    <phoneticPr fontId="3"/>
  </si>
  <si>
    <t>株式等振替制度</t>
    <phoneticPr fontId="3"/>
  </si>
  <si>
    <t>（百万円）</t>
    <phoneticPr fontId="3"/>
  </si>
  <si>
    <t>そ　の　他</t>
    <phoneticPr fontId="3"/>
  </si>
  <si>
    <t>信託銀行</t>
    <phoneticPr fontId="3"/>
  </si>
  <si>
    <t>銀行</t>
    <phoneticPr fontId="3"/>
  </si>
  <si>
    <t>証券</t>
    <phoneticPr fontId="3"/>
  </si>
  <si>
    <t>合　　計</t>
    <phoneticPr fontId="3"/>
  </si>
  <si>
    <t>証券種類</t>
    <phoneticPr fontId="3"/>
  </si>
  <si>
    <t>【口座残高（時価総額）】</t>
    <phoneticPr fontId="3"/>
  </si>
  <si>
    <t>全制度口座残高一覧（2020年4月末時点）</t>
    <phoneticPr fontId="3"/>
  </si>
  <si>
    <t>全制度口座残高一覧（2020年5月末時点）</t>
    <phoneticPr fontId="3"/>
  </si>
  <si>
    <t>制　　度</t>
    <phoneticPr fontId="3"/>
  </si>
  <si>
    <t>証券種類</t>
    <phoneticPr fontId="3"/>
  </si>
  <si>
    <t>合　　計</t>
    <phoneticPr fontId="3"/>
  </si>
  <si>
    <t>証券</t>
    <phoneticPr fontId="3"/>
  </si>
  <si>
    <t>銀行</t>
    <phoneticPr fontId="3"/>
  </si>
  <si>
    <t>信託銀行</t>
    <phoneticPr fontId="3"/>
  </si>
  <si>
    <t>そ　の　他</t>
    <phoneticPr fontId="3"/>
  </si>
  <si>
    <t>（百万円）</t>
    <phoneticPr fontId="3"/>
  </si>
  <si>
    <t>株式等振替制度</t>
    <phoneticPr fontId="3"/>
  </si>
  <si>
    <t>株式</t>
    <phoneticPr fontId="3"/>
  </si>
  <si>
    <t>新株予約権</t>
    <phoneticPr fontId="3"/>
  </si>
  <si>
    <t>投資口</t>
    <phoneticPr fontId="3"/>
  </si>
  <si>
    <t>受益証券発行信託の受益権</t>
    <phoneticPr fontId="3"/>
  </si>
  <si>
    <t>外国株券等</t>
    <phoneticPr fontId="3"/>
  </si>
  <si>
    <t xml:space="preserve">非公募特別債                            </t>
    <phoneticPr fontId="3"/>
  </si>
  <si>
    <t xml:space="preserve">地方公社債（公募）                      </t>
    <phoneticPr fontId="3"/>
  </si>
  <si>
    <t xml:space="preserve">金融債（割引）                          </t>
    <phoneticPr fontId="3"/>
  </si>
  <si>
    <t xml:space="preserve">社債（公募）うち一般担保付                         </t>
    <phoneticPr fontId="3"/>
  </si>
  <si>
    <t xml:space="preserve">社債（非公募）                          </t>
    <phoneticPr fontId="3"/>
  </si>
  <si>
    <t xml:space="preserve">社債（非公募）うち一般担保付                      </t>
    <phoneticPr fontId="3"/>
  </si>
  <si>
    <t xml:space="preserve">資産担保型社債（公募）                  </t>
    <phoneticPr fontId="3"/>
  </si>
  <si>
    <t xml:space="preserve">資産担保型社債（非公募）                </t>
    <phoneticPr fontId="3"/>
  </si>
  <si>
    <t xml:space="preserve">円建外債（公募）                        </t>
    <phoneticPr fontId="3"/>
  </si>
  <si>
    <t xml:space="preserve">資産担保型社債（非居住者分）（公募）    </t>
    <phoneticPr fontId="3"/>
  </si>
  <si>
    <t>N/A</t>
    <phoneticPr fontId="3"/>
  </si>
  <si>
    <t>注2　参考：2020年5月末時点の契約型私募投信の銘柄数及び純資産残高（投資信託協会公表）7,026銘柄、97,605,868百万円</t>
    <rPh sb="10" eb="11">
      <t>ネン</t>
    </rPh>
    <rPh sb="13" eb="14">
      <t>マツ</t>
    </rPh>
    <phoneticPr fontId="3"/>
  </si>
  <si>
    <t>全制度口座残高一覧（2020年6月末時点）</t>
    <phoneticPr fontId="3"/>
  </si>
  <si>
    <t>注2　参考：2020年6月末時点の契約型私募投信の銘柄数及び純資産残高（投資信託協会公表）7,071銘柄、98,967,854百万円</t>
    <rPh sb="13" eb="14">
      <t>マツ</t>
    </rPh>
    <phoneticPr fontId="3"/>
  </si>
  <si>
    <t>全制度口座残高一覧（2020年7月末時点）</t>
    <phoneticPr fontId="3"/>
  </si>
  <si>
    <t>N/A</t>
    <phoneticPr fontId="16"/>
  </si>
  <si>
    <t>注2　参考：2020年7月末時点の契約型私募投信の銘柄数及び純資産残高（投資信託協会公表）7,138銘柄、100,641,224百万円</t>
    <rPh sb="13" eb="14">
      <t>マツ</t>
    </rPh>
    <phoneticPr fontId="3"/>
  </si>
  <si>
    <t>全制度口座残高一覧（2020年8月末時点）</t>
    <phoneticPr fontId="3"/>
  </si>
  <si>
    <t>注2　参考：2020年8月末時点の契約型私募投信の銘柄数及び純資産残高（投資信託協会公表）7,215銘柄、101,444,509百万円</t>
    <rPh sb="13" eb="14">
      <t>マツ</t>
    </rPh>
    <phoneticPr fontId="3"/>
  </si>
  <si>
    <t>全制度口座残高一覧（2020年9月末時点）</t>
    <phoneticPr fontId="3"/>
  </si>
  <si>
    <t>注2　参考：2020年9月末時点の契約型私募投信の銘柄数及び純資産残高（投資信託協会公表）7,270銘柄、102,305,940百万円</t>
    <rPh sb="13" eb="14">
      <t>マツ</t>
    </rPh>
    <phoneticPr fontId="3"/>
  </si>
  <si>
    <t>全制度口座残高一覧（2020年10月末時点）</t>
    <phoneticPr fontId="3"/>
  </si>
  <si>
    <t>注2　参考：2020年10月末時点の契約型私募投信の銘柄数及び純資産残高（投資信託協会公表）7,334銘柄、103,137,579百万円</t>
    <rPh sb="14" eb="15">
      <t>マツ</t>
    </rPh>
    <phoneticPr fontId="3"/>
  </si>
  <si>
    <t>全制度口座残高一覧（2020年11月末時点）</t>
    <phoneticPr fontId="3"/>
  </si>
  <si>
    <t>N/A</t>
    <phoneticPr fontId="17"/>
  </si>
  <si>
    <t>注2　参考：2020年11月末時点の契約型私募投信の銘柄数及び純資産残高（投資信託協会公表）7,415銘柄、104,839,382百万円</t>
    <phoneticPr fontId="3"/>
  </si>
  <si>
    <t>注3 一部の機構加入者について、口座残高の集計カテゴリーの見直しを実施しました。</t>
    <phoneticPr fontId="3"/>
  </si>
  <si>
    <t>全制度口座残高一覧（2020年12月末時点）</t>
    <phoneticPr fontId="3"/>
  </si>
  <si>
    <t>注2　参考：2020年12月末時点の契約型私募投信の銘柄数及び純資産残高（投資信託協会公表）7,516銘柄、107,619,069百万円</t>
    <phoneticPr fontId="3"/>
  </si>
  <si>
    <t>全制度口座残高一覧（2021年1月末時点）</t>
    <phoneticPr fontId="3"/>
  </si>
  <si>
    <t>注2　参考：2021年1月末時点の契約型私募投信の銘柄数及び純資産残高（投資信託協会公表）7,563銘柄、105,976,385百万円</t>
    <phoneticPr fontId="3"/>
  </si>
  <si>
    <t>全制度口座残高一覧（2021年2月末時点）</t>
    <phoneticPr fontId="3"/>
  </si>
  <si>
    <t>注2　参考：2021年2月末時点の契約型私募投信の銘柄数及び純資産残高（投資信託協会公表）7,634銘柄、106,124,562百万円</t>
    <phoneticPr fontId="3"/>
  </si>
  <si>
    <t>全制度口座残高一覧（2021年3月末時点）</t>
    <phoneticPr fontId="3"/>
  </si>
  <si>
    <t>注2　参考：2021年3月末時点の契約型私募投信の銘柄数及び純資産残高（投資信託協会公表）7,673銘柄、106,555,308百万円</t>
    <phoneticPr fontId="3"/>
  </si>
  <si>
    <t>全制度口座残高一覧（2021年4月末時点）</t>
    <phoneticPr fontId="3"/>
  </si>
  <si>
    <t>注2　参考：2021年4月末時点の契約型私募投信の銘柄数及び純資産残高（投資信託協会公表）7,778銘柄、107,917,428百万円</t>
    <phoneticPr fontId="3"/>
  </si>
  <si>
    <t>全制度口座残高一覧（2021年5月末時点）</t>
    <phoneticPr fontId="3"/>
  </si>
  <si>
    <t>注2　参考：2021年5月末時点の契約型私募投信の銘柄数及び純資産残高（投資信託協会公表）7,829銘柄、108,594,166百万円</t>
    <phoneticPr fontId="3"/>
  </si>
  <si>
    <t>全制度口座残高一覧（2021年6月末時点）</t>
    <phoneticPr fontId="3"/>
  </si>
  <si>
    <t>注2　参考：2021年6月末時点の契約型私募投信の銘柄数及び純資産残高（投資信託協会公表）7,890銘柄、108,877,856百万円</t>
    <phoneticPr fontId="3"/>
  </si>
  <si>
    <t>全制度口座残高一覧（2021年7月末時点）</t>
    <phoneticPr fontId="3"/>
  </si>
  <si>
    <t>注2　参考：2021年7月末時点の契約型私募投信の銘柄数及び純資産残高（投資信託協会公表）7,955銘柄、109,430,451百万円</t>
    <phoneticPr fontId="3"/>
  </si>
  <si>
    <t>全制度口座残高一覧（2021年8月末時点）</t>
    <phoneticPr fontId="3"/>
  </si>
  <si>
    <t>注2　参考：2021年8月末時点の契約型私募投信の銘柄数及び純資産残高（投資信託協会公表）8,007銘柄、109,978,213百万円</t>
    <phoneticPr fontId="3"/>
  </si>
  <si>
    <t>全制度口座残高一覧（2021年9月末時点）</t>
    <phoneticPr fontId="3"/>
  </si>
  <si>
    <t>注2　参考：2021年9月末時点の契約型私募投信の銘柄数及び純資産残高（投資信託協会公表）8,051銘柄、109,461,947百万円</t>
    <phoneticPr fontId="3"/>
  </si>
  <si>
    <t>全制度口座残高一覧（2021年10月末時点）</t>
    <phoneticPr fontId="3"/>
  </si>
  <si>
    <t>注2　参考：2021年10月末時点の契約型私募投信の銘柄数及び純資産残高（投資信託協会公表）8,105銘柄、110,805,468百万円</t>
    <phoneticPr fontId="3"/>
  </si>
  <si>
    <t>全制度口座残高一覧（2021年11月末時点）</t>
    <phoneticPr fontId="3"/>
  </si>
  <si>
    <t>注2　参考：2021年11月末時点の契約型私募投信の銘柄数及び純資産残高（投資信託協会公表）8,135銘柄、111,389,599百万円</t>
    <phoneticPr fontId="3"/>
  </si>
  <si>
    <t>全制度口座残高一覧（2021年12月末時点）</t>
    <phoneticPr fontId="3"/>
  </si>
  <si>
    <t>注2　参考：2021年12月末時点の契約型私募投信の銘柄数及び純資産残高（投資信託協会公表）8,179銘柄、110,657,170百万円</t>
    <phoneticPr fontId="3"/>
  </si>
  <si>
    <t>全制度口座残高一覧（2022年1月末時点）</t>
    <phoneticPr fontId="3"/>
  </si>
  <si>
    <t>注2　参考：2022年1月末時点の契約型私募投信の銘柄数及び純資産残高（投資信託協会公表）8,243銘柄、109,771,084百万円</t>
    <phoneticPr fontId="3"/>
  </si>
  <si>
    <t>全制度口座残高一覧（2022年2月末時点）</t>
    <phoneticPr fontId="3"/>
  </si>
  <si>
    <t>注2　参考：2022年2月末時点の契約型私募投信の銘柄数及び純資産残高（投資信託協会公表）8,285銘柄、109,186,018百万円</t>
    <phoneticPr fontId="3"/>
  </si>
  <si>
    <t>全制度口座残高一覧（2022年3月末時点）</t>
    <phoneticPr fontId="3"/>
  </si>
  <si>
    <t>注2　参考：2022年3月末時点の契約型私募投信の銘柄数及び純資産残高（投資信託協会公表）8,299銘柄、108,979,659百万円</t>
    <phoneticPr fontId="3"/>
  </si>
  <si>
    <t>全制度口座残高一覧（2022年4月末時点）</t>
    <phoneticPr fontId="3"/>
  </si>
  <si>
    <t>注2　参考：2022年4月末時点の契約型私募投信の銘柄数及び純資産残高（投資信託協会公表）8,329銘柄、106,493,386百万円</t>
    <phoneticPr fontId="3"/>
  </si>
  <si>
    <t>全制度口座残高一覧（2022年5月末時点）</t>
    <phoneticPr fontId="3"/>
  </si>
  <si>
    <t>注2　参考：2022年5月末時点の契約型私募投信の銘柄数及び純資産残高（投資信託協会公表）8,333銘柄、106,146,908百万円</t>
    <phoneticPr fontId="3"/>
  </si>
  <si>
    <t>全制度口座残高一覧（2022年6月末時点）</t>
    <phoneticPr fontId="3"/>
  </si>
  <si>
    <t>注2　参考：2022年6月末時点の契約型私募投信の銘柄数及び純資産残高（投資信託協会公表）8,368銘柄、104,333,618百万円</t>
    <phoneticPr fontId="3"/>
  </si>
  <si>
    <t>全制度口座残高一覧（2022年7月末時点）</t>
    <phoneticPr fontId="3"/>
  </si>
  <si>
    <t>注2　参考：2022年7月末時点の契約型私募投信の銘柄数及び純資産残高（投資信託協会公表）8,380銘柄、107,034,727百万円</t>
    <phoneticPr fontId="3"/>
  </si>
  <si>
    <t>全制度口座残高一覧（2022年8月末時点）</t>
    <phoneticPr fontId="3"/>
  </si>
  <si>
    <t>注2　参考：2022年8月末時点の契約型私募投信の銘柄数及び純資産残高（投資信託協会公表）8,393銘柄、106,739,223百万円</t>
    <phoneticPr fontId="3"/>
  </si>
  <si>
    <t>全制度口座残高一覧（2022年9月末時点）</t>
    <phoneticPr fontId="3"/>
  </si>
  <si>
    <t>注2　参考：2022年9月末時点の契約型私募投信の銘柄数及び純資産残高（投資信託協会公表）8,423銘柄、106,953,224百万円</t>
    <phoneticPr fontId="3"/>
  </si>
  <si>
    <t>全制度口座残高一覧（2022年10月末時点）</t>
    <phoneticPr fontId="3"/>
  </si>
  <si>
    <t>注2　参考：2022年10月末時点の契約型私募投信の銘柄数及び純資産残高（投資信託協会公表）8,424銘柄、107,381,853百万円</t>
    <phoneticPr fontId="3"/>
  </si>
  <si>
    <t>全制度口座残高一覧（2022年11月末時点）</t>
    <phoneticPr fontId="3"/>
  </si>
  <si>
    <t>注2　参考：2022年11月末時点の契約型私募投信の銘柄数及び純資産残高（投資信託協会公表）8,366銘柄、107,417,248百万円</t>
    <phoneticPr fontId="3"/>
  </si>
  <si>
    <t>全制度口座残高一覧（2022年12月末時点）</t>
  </si>
  <si>
    <t>【口座残高（時価総額）】</t>
  </si>
  <si>
    <t>制　　度</t>
  </si>
  <si>
    <t>証券種類</t>
  </si>
  <si>
    <t>銘　柄　数</t>
  </si>
  <si>
    <t>合　　計</t>
  </si>
  <si>
    <t>証券</t>
  </si>
  <si>
    <t>銀行</t>
  </si>
  <si>
    <t>信託銀行</t>
  </si>
  <si>
    <t>そ　の　他</t>
  </si>
  <si>
    <t>（百万円）</t>
  </si>
  <si>
    <t>株式等振替制度</t>
  </si>
  <si>
    <t>株式</t>
  </si>
  <si>
    <t>新株予約権付社債</t>
  </si>
  <si>
    <t>新株予約権</t>
  </si>
  <si>
    <t>優先出資</t>
  </si>
  <si>
    <t>投資口</t>
  </si>
  <si>
    <t>投資信託受益権（ETF）</t>
  </si>
  <si>
    <t>受益証券発行信託の受益権</t>
  </si>
  <si>
    <t>外国株券等保管振替決済制度</t>
  </si>
  <si>
    <t>外国株券等</t>
  </si>
  <si>
    <t>一般債振替制度</t>
  </si>
  <si>
    <t xml:space="preserve">地方債（公募）                        </t>
  </si>
  <si>
    <t xml:space="preserve">地方債（非公募）                        </t>
  </si>
  <si>
    <t xml:space="preserve">政府保証債（公募）                      </t>
  </si>
  <si>
    <t xml:space="preserve">財投機関債等(公募)                           </t>
  </si>
  <si>
    <t xml:space="preserve">非公募特別債                            </t>
  </si>
  <si>
    <t xml:space="preserve">地方公社債（公募）                      </t>
  </si>
  <si>
    <t xml:space="preserve">地方公社債（非公募）                    </t>
  </si>
  <si>
    <t xml:space="preserve">金融債（割引）                          </t>
  </si>
  <si>
    <t xml:space="preserve">金融債（利付）                          </t>
  </si>
  <si>
    <t xml:space="preserve">社債（公募）                            </t>
  </si>
  <si>
    <t xml:space="preserve">社債（公募）うち一般担保付                         </t>
  </si>
  <si>
    <t xml:space="preserve">社債（非公募）                          </t>
  </si>
  <si>
    <t xml:space="preserve">社債（非公募）うち一般担保付                      </t>
  </si>
  <si>
    <t xml:space="preserve">資産担保型社債（公募）                  </t>
  </si>
  <si>
    <t xml:space="preserve">資産担保型社債（非公募）                </t>
  </si>
  <si>
    <t xml:space="preserve">円建外債（公募）                        </t>
  </si>
  <si>
    <t xml:space="preserve">円建外債（非公募）                      </t>
  </si>
  <si>
    <t xml:space="preserve">資産担保型社債（非居住者分）（公募）    </t>
  </si>
  <si>
    <t xml:space="preserve">資産担保型社債（非居住者分）（非公募）  </t>
  </si>
  <si>
    <t xml:space="preserve">その他（公募）                          </t>
  </si>
  <si>
    <t xml:space="preserve">その他（非公募）                        </t>
  </si>
  <si>
    <t>短期社債振替制度</t>
  </si>
  <si>
    <t>CP</t>
  </si>
  <si>
    <t>投資信託振替制度</t>
  </si>
  <si>
    <t>投資信託（公募）</t>
  </si>
  <si>
    <t>投資信託（私募）</t>
  </si>
  <si>
    <t>注1　株式等振替制度及び外国株券等保管振替決済制度における「口座残高（時価総額）」は、「基準日時点における各銘柄の口座残高（株数/口数）」に「同日における各銘柄の終値（終値が付かなかった場合には、直近の終値とする）」を乗じて算出した数値を合計したものである。</t>
  </si>
  <si>
    <t>　　　する場合がある。</t>
  </si>
  <si>
    <t>注2　参考：2022年12月末時点の契約型私募投信の銘柄数及び純資産残高（投資信託協会公表）8,359銘柄、107,341,052百万円</t>
  </si>
  <si>
    <t>全制度口座残高一覧（2023年1月末時点）</t>
    <phoneticPr fontId="3"/>
  </si>
  <si>
    <t>注2　参考：2023年1月末時点の契約型私募投信の銘柄数及び純資産残高（投資信託協会公表）8,390銘柄、109,446,670百万円</t>
    <phoneticPr fontId="3"/>
  </si>
  <si>
    <t>全制度口座残高一覧（2023年2月末時点）</t>
    <phoneticPr fontId="3"/>
  </si>
  <si>
    <t>注2　参考：2023年2月末時点の契約型私募投信の銘柄数及び純資産残高（投資信託協会公表）8,419銘柄、109,109,703百万円</t>
    <phoneticPr fontId="3"/>
  </si>
  <si>
    <t>全制度口座残高一覧（2023年3月末時点）</t>
  </si>
  <si>
    <t>注2　参考：2023年3月末時点の契約型私募投信の銘柄数及び純資産残高（投資信託協会公表）8,403銘柄、109,476,900百万円</t>
  </si>
  <si>
    <t>全制度口座残高一覧（2023年4月末時点）</t>
    <phoneticPr fontId="3"/>
  </si>
  <si>
    <t>注2　参考：2023年4月末時点の契約型私募投信の銘柄数及び純資産残高（投資信託協会公表）8,424銘柄、108,384,495百万円</t>
    <phoneticPr fontId="3"/>
  </si>
  <si>
    <t>全制度口座残高一覧（2023年5月末時点）</t>
    <phoneticPr fontId="3"/>
  </si>
  <si>
    <t>注2　参考：2023年5月末時点の契約型私募投信の銘柄数及び純資産残高（投資信託協会公表）8,433銘柄、108,929,563百万円</t>
    <phoneticPr fontId="3"/>
  </si>
  <si>
    <t>全制度口座残高一覧（2023年6月末時点）</t>
    <phoneticPr fontId="3"/>
  </si>
  <si>
    <t>注2　参考：2023年6月末時点の契約型私募投信の銘柄数及び純資産残高（投資信託協会公表）8,407銘柄、109,247,245百万円</t>
    <phoneticPr fontId="3"/>
  </si>
  <si>
    <t>全制度口座残高一覧（2023年7月末時点）</t>
    <phoneticPr fontId="3"/>
  </si>
  <si>
    <t>注2　参考：2023年7月末時点の契約型私募投信の銘柄数及び純資産残高（投資信託協会公表）8,419銘柄、110,652,123百万円</t>
    <phoneticPr fontId="3"/>
  </si>
  <si>
    <t>全制度口座残高一覧（2023年8月末時点）</t>
    <phoneticPr fontId="3"/>
  </si>
  <si>
    <t>注2　参考：2023年8月末時点の契約型私募投信の銘柄数及び純資産残高（投資信託協会公表）8,427銘柄、110,985,944百万円</t>
    <phoneticPr fontId="3"/>
  </si>
  <si>
    <t>　　　なお、株式分割等が行われた銘柄については、当該銘柄の数量（株数/口数）は株式分割等の効力発生日から変更となるが、当該銘柄の価格（終値）は株式分割等の効力発生日よりも前の権利落ち日からその効果が反映されるため、実態面の時価総額とかい離</t>
  </si>
  <si>
    <t>全制度口座残高一覧（2023年9月末時点）</t>
    <phoneticPr fontId="3"/>
  </si>
  <si>
    <t>注2　参考：2023年9月末時点の契約型私募投信の銘柄数及び純資産残高（投資信託協会公表）8,437銘柄、110,224,858百万円</t>
    <phoneticPr fontId="3"/>
  </si>
  <si>
    <t>全制度口座残高一覧（2023年10月末時点）</t>
    <phoneticPr fontId="3"/>
  </si>
  <si>
    <t>　　　なお、株式分割等が行われた銘柄については、当該銘柄の数量（株数/口数）は株式分割等の効力発生日から変更となるが、当該銘柄の価格（終値）は株式分割等の効力発生日よりも前の権利落ち日からその効果が反映されるため、実態面の時価総額とかい離</t>
    <phoneticPr fontId="3"/>
  </si>
  <si>
    <t>注2　参考：2023年10月末時点の契約型私募投信の銘柄数及び純資産残高（投資信託協会公表）8,445銘柄、109,989,186百万円</t>
    <phoneticPr fontId="3"/>
  </si>
  <si>
    <t>全制度口座残高一覧（2023年11月末時点）</t>
    <phoneticPr fontId="3"/>
  </si>
  <si>
    <t>注2　参考：2023年11月末時点の契約型私募投信の銘柄数及び純資産残高（投資信託協会公表）8,399銘柄、112,920,060百万円</t>
    <phoneticPr fontId="3"/>
  </si>
  <si>
    <t>全制度口座残高一覧（2023年12月末時点）</t>
    <phoneticPr fontId="3"/>
  </si>
  <si>
    <t>注2　参考：2023年12月末時点の契約型私募投信の銘柄数及び純資産残高（投資信託協会公表）8,393銘柄、113,365,079百万円</t>
    <phoneticPr fontId="3"/>
  </si>
  <si>
    <t>全制度口座残高一覧（2024年1月末時点）</t>
    <phoneticPr fontId="3"/>
  </si>
  <si>
    <t>注2　参考：2024年1月末時点の契約型私募投信の銘柄数及び純資産残高（投資信託協会公表）8,389銘柄、115,042,533百万円</t>
    <phoneticPr fontId="3"/>
  </si>
  <si>
    <t>全制度口座残高一覧（2024年2月末時点）</t>
    <phoneticPr fontId="3"/>
  </si>
  <si>
    <t>注2　参考：2024年2月末時点の契約型私募投信の銘柄数及び純資産残高（投資信託協会公表）8,400銘柄、116,364,151百万円</t>
    <phoneticPr fontId="3"/>
  </si>
  <si>
    <t>全制度口座残高一覧（2024年3月末時点）</t>
    <phoneticPr fontId="3"/>
  </si>
  <si>
    <t>注2　参考：2024年3月末時点の契約型私募投信の銘柄数及び純資産残高（投資信託協会公表）8,361銘柄、116,670,854百万円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</si>
</sst>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_ #,##0\ ;_ \-#,##0\ ;_ \-\ ;_ General\ "/>
    <numFmt numFmtId="177" formatCode="_ #,##0\ ;_ \-#,##0\ ;_ 0\ ;_ General\ "/>
  </numFmts>
  <fonts count="18" x14ac:knownFonts="1">
    <font>
      <sz val="10"/>
      <color theme="1"/>
      <name val="ＭＳ ゴシック"/>
      <family val="3"/>
      <charset val="128"/>
    </font>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12"/>
      <name val="ＭＳ Ｐゴシック"/>
      <family val="3"/>
      <charset val="128"/>
    </font>
    <font>
      <sz val="12"/>
      <name val="ＭＳ Ｐ明朝"/>
      <family val="1"/>
      <charset val="128"/>
    </font>
    <font>
      <sz val="12"/>
      <color indexed="8"/>
      <name val="ＭＳ Ｐ明朝"/>
      <family val="1"/>
      <charset val="128"/>
    </font>
    <font>
      <sz val="14"/>
      <name val="ＭＳ Ｐ明朝"/>
      <family val="1"/>
      <charset val="128"/>
    </font>
    <font>
      <sz val="14"/>
      <name val="ＭＳ Ｐ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6"/>
      <name val="游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s>
  <fills count="2">
    <fill>
      <patternFill patternType="none"/>
    </fill>
    <fill>
      <patternFill patternType="gray125"/>
    </fill>
  </fills>
  <borders count="66">
    <border>
      <left/>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style="double">
        <color indexed="64"/>
      </left>
      <right style="thin">
        <color indexed="64"/>
      </right>
      <top/>
      <bottom/>
      <diagonal/>
    </border>
    <border>
      <left style="thin">
        <color indexed="64"/>
      </left>
      <right style="double">
        <color indexed="64"/>
      </right>
      <top/>
      <bottom style="thin">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thin">
        <color indexed="64"/>
      </left>
      <right/>
      <top/>
      <bottom/>
      <diagonal/>
    </border>
    <border>
      <left/>
      <right style="thin">
        <color indexed="64"/>
      </right>
      <top style="double">
        <color indexed="64"/>
      </top>
      <bottom/>
      <diagonal/>
    </border>
    <border>
      <left style="medium">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medium">
        <color indexed="64"/>
      </right>
      <top style="thin">
        <color indexed="64"/>
      </top>
      <bottom/>
      <diagonal/>
    </border>
    <border>
      <left/>
      <right style="medium">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double">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double">
        <color indexed="64"/>
      </bottom>
      <diagonal/>
    </border>
    <border>
      <left style="thin">
        <color indexed="64"/>
      </left>
      <right/>
      <top style="medium">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275">
    <xf numFmtId="0" fontId="0" fillId="0" borderId="0" xfId="0">
      <alignment vertical="center"/>
    </xf>
    <xf numFmtId="38" fontId="2" fillId="0" borderId="0" xfId="1" applyFont="1">
      <alignment vertical="center"/>
    </xf>
    <xf numFmtId="38" fontId="2" fillId="0" borderId="0" xfId="1" applyFont="1" applyAlignment="1">
      <alignment vertical="center"/>
    </xf>
    <xf numFmtId="38" fontId="2" fillId="0" borderId="0" xfId="1" applyFont="1" applyBorder="1" applyAlignment="1">
      <alignment horizontal="left" vertical="center"/>
    </xf>
    <xf numFmtId="176" fontId="4" fillId="0" borderId="1" xfId="2" applyNumberFormat="1" applyFont="1" applyBorder="1" applyAlignment="1">
      <alignment horizontal="right" vertical="center"/>
    </xf>
    <xf numFmtId="176" fontId="4" fillId="0" borderId="2" xfId="2" applyNumberFormat="1" applyFont="1" applyBorder="1" applyAlignment="1">
      <alignment horizontal="right" vertical="center"/>
    </xf>
    <xf numFmtId="176" fontId="4" fillId="0" borderId="3" xfId="1" applyNumberFormat="1" applyFont="1" applyBorder="1" applyAlignment="1">
      <alignment horizontal="right" vertical="center"/>
    </xf>
    <xf numFmtId="38" fontId="4" fillId="0" borderId="4" xfId="1" applyFont="1" applyBorder="1">
      <alignment vertical="center"/>
    </xf>
    <xf numFmtId="176" fontId="4" fillId="0" borderId="5" xfId="2" applyNumberFormat="1" applyFont="1" applyBorder="1" applyAlignment="1">
      <alignment horizontal="right" vertical="center"/>
    </xf>
    <xf numFmtId="176" fontId="4" fillId="0" borderId="6" xfId="2" applyNumberFormat="1" applyFont="1" applyBorder="1" applyAlignment="1">
      <alignment horizontal="right" vertical="center"/>
    </xf>
    <xf numFmtId="176" fontId="4" fillId="0" borderId="7" xfId="2" applyNumberFormat="1" applyFont="1" applyBorder="1" applyAlignment="1">
      <alignment horizontal="right" vertical="center"/>
    </xf>
    <xf numFmtId="176" fontId="4" fillId="0" borderId="8" xfId="1" applyNumberFormat="1" applyFont="1" applyBorder="1" applyAlignment="1">
      <alignment horizontal="right" vertical="center"/>
    </xf>
    <xf numFmtId="38" fontId="4" fillId="0" borderId="9" xfId="1" applyFont="1" applyBorder="1">
      <alignment vertical="center"/>
    </xf>
    <xf numFmtId="176" fontId="4" fillId="0" borderId="10" xfId="2" applyNumberFormat="1" applyFont="1" applyBorder="1" applyAlignment="1">
      <alignment horizontal="right" vertical="center"/>
    </xf>
    <xf numFmtId="176" fontId="4" fillId="0" borderId="11" xfId="2" applyNumberFormat="1" applyFont="1" applyBorder="1" applyAlignment="1">
      <alignment horizontal="right" vertical="center"/>
    </xf>
    <xf numFmtId="176" fontId="4" fillId="0" borderId="12" xfId="2" applyNumberFormat="1" applyFont="1" applyBorder="1" applyAlignment="1">
      <alignment horizontal="right" vertical="center"/>
    </xf>
    <xf numFmtId="176" fontId="4" fillId="0" borderId="13" xfId="1" applyNumberFormat="1" applyFont="1" applyBorder="1" applyAlignment="1">
      <alignment horizontal="right" vertical="center"/>
    </xf>
    <xf numFmtId="38" fontId="4" fillId="0" borderId="14" xfId="1" applyFont="1" applyBorder="1">
      <alignment vertical="center"/>
    </xf>
    <xf numFmtId="38" fontId="4" fillId="0" borderId="15" xfId="1" applyFont="1" applyBorder="1" applyAlignment="1">
      <alignment horizontal="center" vertical="center"/>
    </xf>
    <xf numFmtId="176" fontId="4" fillId="0" borderId="16" xfId="2" applyNumberFormat="1" applyFont="1" applyBorder="1" applyAlignment="1">
      <alignment horizontal="right" vertical="center"/>
    </xf>
    <xf numFmtId="176" fontId="4" fillId="0" borderId="17" xfId="2" applyNumberFormat="1" applyFont="1" applyBorder="1" applyAlignment="1">
      <alignment horizontal="right" vertical="center"/>
    </xf>
    <xf numFmtId="176" fontId="4" fillId="0" borderId="18" xfId="2" applyNumberFormat="1" applyFont="1" applyBorder="1" applyAlignment="1">
      <alignment horizontal="right" vertical="center"/>
    </xf>
    <xf numFmtId="176" fontId="4" fillId="0" borderId="19" xfId="1" applyNumberFormat="1" applyFont="1" applyBorder="1" applyAlignment="1">
      <alignment horizontal="right" vertical="center"/>
    </xf>
    <xf numFmtId="38" fontId="4" fillId="0" borderId="20" xfId="1" applyFont="1" applyBorder="1">
      <alignment vertical="center"/>
    </xf>
    <xf numFmtId="38" fontId="4" fillId="0" borderId="21" xfId="1" applyFont="1" applyBorder="1">
      <alignment vertical="center"/>
    </xf>
    <xf numFmtId="176" fontId="4" fillId="0" borderId="22" xfId="2" applyNumberFormat="1" applyFont="1" applyBorder="1" applyAlignment="1">
      <alignment horizontal="right" vertical="center"/>
    </xf>
    <xf numFmtId="176" fontId="4" fillId="0" borderId="23" xfId="2" applyNumberFormat="1" applyFont="1" applyBorder="1" applyAlignment="1">
      <alignment horizontal="right" vertical="center"/>
    </xf>
    <xf numFmtId="176" fontId="4" fillId="0" borderId="24" xfId="2" applyNumberFormat="1" applyFont="1" applyBorder="1" applyAlignment="1">
      <alignment horizontal="right" vertical="center"/>
    </xf>
    <xf numFmtId="176" fontId="4" fillId="0" borderId="25" xfId="2" applyNumberFormat="1" applyFont="1" applyBorder="1" applyAlignment="1">
      <alignment horizontal="right" vertical="center" shrinkToFit="1"/>
    </xf>
    <xf numFmtId="0" fontId="4" fillId="0" borderId="14" xfId="2" applyFont="1" applyBorder="1">
      <alignment vertical="center"/>
    </xf>
    <xf numFmtId="38" fontId="4" fillId="0" borderId="26" xfId="1" applyFont="1" applyBorder="1" applyAlignment="1">
      <alignment horizontal="center" vertical="center" wrapText="1"/>
    </xf>
    <xf numFmtId="176" fontId="4" fillId="0" borderId="27" xfId="2" applyNumberFormat="1" applyFont="1" applyFill="1" applyBorder="1" applyAlignment="1">
      <alignment horizontal="right" vertical="center"/>
    </xf>
    <xf numFmtId="176" fontId="4" fillId="0" borderId="28" xfId="2" applyNumberFormat="1" applyFont="1" applyFill="1" applyBorder="1" applyAlignment="1">
      <alignment horizontal="right" vertical="center"/>
    </xf>
    <xf numFmtId="176" fontId="4" fillId="0" borderId="29" xfId="2" applyNumberFormat="1" applyFont="1" applyFill="1" applyBorder="1" applyAlignment="1">
      <alignment horizontal="right" vertical="center"/>
    </xf>
    <xf numFmtId="176" fontId="4" fillId="0" borderId="30" xfId="2" applyNumberFormat="1" applyFont="1" applyFill="1" applyBorder="1" applyAlignment="1">
      <alignment horizontal="right" vertical="center" shrinkToFit="1"/>
    </xf>
    <xf numFmtId="0" fontId="4" fillId="0" borderId="31" xfId="2" applyFont="1" applyFill="1" applyBorder="1">
      <alignment vertical="center"/>
    </xf>
    <xf numFmtId="176" fontId="4" fillId="0" borderId="16" xfId="2" applyNumberFormat="1" applyFont="1" applyFill="1" applyBorder="1" applyAlignment="1">
      <alignment horizontal="right" vertical="center"/>
    </xf>
    <xf numFmtId="176" fontId="4" fillId="0" borderId="17" xfId="2" applyNumberFormat="1" applyFont="1" applyFill="1" applyBorder="1" applyAlignment="1">
      <alignment horizontal="right" vertical="center"/>
    </xf>
    <xf numFmtId="176" fontId="4" fillId="0" borderId="18" xfId="2" applyNumberFormat="1" applyFont="1" applyFill="1" applyBorder="1" applyAlignment="1">
      <alignment horizontal="right" vertical="center"/>
    </xf>
    <xf numFmtId="176" fontId="4" fillId="0" borderId="19" xfId="2" applyNumberFormat="1" applyFont="1" applyFill="1" applyBorder="1" applyAlignment="1">
      <alignment horizontal="right" vertical="center" shrinkToFit="1"/>
    </xf>
    <xf numFmtId="0" fontId="4" fillId="0" borderId="20" xfId="2" applyFont="1" applyFill="1" applyBorder="1">
      <alignment vertical="center"/>
    </xf>
    <xf numFmtId="0" fontId="4" fillId="0" borderId="20" xfId="2" applyFont="1" applyFill="1" applyBorder="1" applyAlignment="1">
      <alignment vertical="center" wrapText="1"/>
    </xf>
    <xf numFmtId="0" fontId="4" fillId="0" borderId="21" xfId="2" applyFont="1" applyFill="1" applyBorder="1" applyAlignment="1">
      <alignment vertical="center" wrapText="1"/>
    </xf>
    <xf numFmtId="176" fontId="4" fillId="0" borderId="32" xfId="2" applyNumberFormat="1" applyFont="1" applyFill="1" applyBorder="1" applyAlignment="1">
      <alignment horizontal="right" vertical="center"/>
    </xf>
    <xf numFmtId="176" fontId="4" fillId="0" borderId="33" xfId="2" applyNumberFormat="1" applyFont="1" applyFill="1" applyBorder="1" applyAlignment="1">
      <alignment horizontal="right" vertical="center"/>
    </xf>
    <xf numFmtId="176" fontId="4" fillId="0" borderId="34" xfId="2" applyNumberFormat="1" applyFont="1" applyFill="1" applyBorder="1" applyAlignment="1">
      <alignment horizontal="right" vertical="center"/>
    </xf>
    <xf numFmtId="176" fontId="4" fillId="0" borderId="35" xfId="2" applyNumberFormat="1" applyFont="1" applyFill="1" applyBorder="1" applyAlignment="1">
      <alignment horizontal="right" vertical="center" shrinkToFit="1"/>
    </xf>
    <xf numFmtId="0" fontId="4" fillId="0" borderId="36" xfId="2" applyFont="1" applyFill="1" applyBorder="1" applyAlignment="1">
      <alignment vertical="center" wrapText="1"/>
    </xf>
    <xf numFmtId="38" fontId="5" fillId="0" borderId="27" xfId="1" applyFont="1" applyBorder="1" applyAlignment="1">
      <alignment vertical="center" wrapText="1"/>
    </xf>
    <xf numFmtId="38" fontId="5" fillId="0" borderId="37" xfId="1" applyFont="1" applyBorder="1" applyAlignment="1">
      <alignment vertical="center" wrapText="1"/>
    </xf>
    <xf numFmtId="38" fontId="5" fillId="0" borderId="29" xfId="1" applyFont="1" applyBorder="1" applyAlignment="1">
      <alignment vertical="center" wrapText="1"/>
    </xf>
    <xf numFmtId="38" fontId="5" fillId="0" borderId="38" xfId="1" applyFont="1" applyBorder="1" applyAlignment="1">
      <alignment vertical="center" wrapText="1"/>
    </xf>
    <xf numFmtId="38" fontId="6" fillId="0" borderId="30" xfId="1" applyFont="1" applyBorder="1" applyAlignment="1">
      <alignment horizontal="right" vertical="center"/>
    </xf>
    <xf numFmtId="38" fontId="6" fillId="0" borderId="21" xfId="1" applyFont="1" applyBorder="1" applyAlignment="1">
      <alignment horizontal="center" vertical="center"/>
    </xf>
    <xf numFmtId="38" fontId="6" fillId="0" borderId="39" xfId="1" applyFont="1" applyBorder="1" applyAlignment="1">
      <alignment horizontal="center" vertical="center"/>
    </xf>
    <xf numFmtId="38" fontId="6" fillId="0" borderId="40" xfId="1" applyFont="1" applyBorder="1">
      <alignment vertical="center"/>
    </xf>
    <xf numFmtId="38" fontId="6" fillId="0" borderId="41" xfId="1" applyFont="1" applyBorder="1">
      <alignment vertical="center"/>
    </xf>
    <xf numFmtId="38" fontId="6" fillId="0" borderId="41" xfId="1" applyFont="1" applyBorder="1" applyAlignment="1">
      <alignment horizontal="center" vertical="center" wrapText="1"/>
    </xf>
    <xf numFmtId="38" fontId="8" fillId="0" borderId="0" xfId="1" applyFont="1">
      <alignment vertical="center"/>
    </xf>
    <xf numFmtId="177" fontId="4" fillId="0" borderId="17" xfId="2" applyNumberFormat="1" applyFont="1" applyFill="1" applyBorder="1" applyAlignment="1">
      <alignment horizontal="right" vertical="center"/>
    </xf>
    <xf numFmtId="38" fontId="6" fillId="0" borderId="0" xfId="1" applyFont="1">
      <alignment vertical="center"/>
    </xf>
    <xf numFmtId="0" fontId="4" fillId="0" borderId="36" xfId="0" applyFont="1" applyFill="1" applyBorder="1" applyAlignment="1">
      <alignment vertical="center" wrapText="1"/>
    </xf>
    <xf numFmtId="176" fontId="4" fillId="0" borderId="35" xfId="0" applyNumberFormat="1" applyFont="1" applyFill="1" applyBorder="1" applyAlignment="1">
      <alignment horizontal="right" vertical="center" shrinkToFit="1"/>
    </xf>
    <xf numFmtId="176" fontId="4" fillId="0" borderId="34" xfId="0" applyNumberFormat="1" applyFont="1" applyFill="1" applyBorder="1" applyAlignment="1">
      <alignment horizontal="right" vertical="center"/>
    </xf>
    <xf numFmtId="176" fontId="4" fillId="0" borderId="33" xfId="0" applyNumberFormat="1" applyFont="1" applyFill="1" applyBorder="1" applyAlignment="1">
      <alignment horizontal="right" vertical="center"/>
    </xf>
    <xf numFmtId="176" fontId="4" fillId="0" borderId="32" xfId="0" applyNumberFormat="1" applyFont="1" applyFill="1" applyBorder="1" applyAlignment="1">
      <alignment horizontal="right" vertical="center"/>
    </xf>
    <xf numFmtId="0" fontId="4" fillId="0" borderId="20" xfId="0" applyFont="1" applyFill="1" applyBorder="1" applyAlignment="1">
      <alignment vertical="center" wrapText="1"/>
    </xf>
    <xf numFmtId="176" fontId="4" fillId="0" borderId="19" xfId="0" applyNumberFormat="1" applyFont="1" applyFill="1" applyBorder="1" applyAlignment="1">
      <alignment horizontal="right" vertical="center" shrinkToFit="1"/>
    </xf>
    <xf numFmtId="176" fontId="4" fillId="0" borderId="18" xfId="0" applyNumberFormat="1" applyFont="1" applyFill="1" applyBorder="1" applyAlignment="1">
      <alignment horizontal="right" vertical="center"/>
    </xf>
    <xf numFmtId="176" fontId="4" fillId="0" borderId="17" xfId="0" applyNumberFormat="1" applyFont="1" applyFill="1" applyBorder="1" applyAlignment="1">
      <alignment horizontal="right" vertical="center"/>
    </xf>
    <xf numFmtId="176" fontId="4" fillId="0" borderId="16" xfId="0" applyNumberFormat="1" applyFont="1" applyFill="1" applyBorder="1" applyAlignment="1">
      <alignment horizontal="right" vertical="center"/>
    </xf>
    <xf numFmtId="0" fontId="4" fillId="0" borderId="21" xfId="0" applyFont="1" applyFill="1" applyBorder="1" applyAlignment="1">
      <alignment vertical="center" wrapText="1"/>
    </xf>
    <xf numFmtId="176" fontId="4" fillId="0" borderId="30" xfId="0" applyNumberFormat="1" applyFont="1" applyFill="1" applyBorder="1" applyAlignment="1">
      <alignment horizontal="right" vertical="center" shrinkToFit="1"/>
    </xf>
    <xf numFmtId="176" fontId="4" fillId="0" borderId="29" xfId="0" applyNumberFormat="1" applyFont="1" applyFill="1" applyBorder="1" applyAlignment="1">
      <alignment horizontal="right" vertical="center"/>
    </xf>
    <xf numFmtId="176" fontId="4" fillId="0" borderId="28" xfId="0" applyNumberFormat="1" applyFont="1" applyFill="1" applyBorder="1" applyAlignment="1">
      <alignment horizontal="right" vertical="center"/>
    </xf>
    <xf numFmtId="176" fontId="4" fillId="0" borderId="27" xfId="0" applyNumberFormat="1" applyFont="1" applyFill="1" applyBorder="1" applyAlignment="1">
      <alignment horizontal="right" vertical="center"/>
    </xf>
    <xf numFmtId="0" fontId="4" fillId="0" borderId="20" xfId="0" applyFont="1" applyFill="1" applyBorder="1">
      <alignment vertical="center"/>
    </xf>
    <xf numFmtId="0" fontId="4" fillId="0" borderId="31" xfId="0" applyFont="1" applyFill="1" applyBorder="1">
      <alignment vertical="center"/>
    </xf>
    <xf numFmtId="0" fontId="4" fillId="0" borderId="14" xfId="0" applyFont="1" applyBorder="1">
      <alignment vertical="center"/>
    </xf>
    <xf numFmtId="176" fontId="4" fillId="0" borderId="25" xfId="0" applyNumberFormat="1" applyFont="1" applyBorder="1" applyAlignment="1">
      <alignment horizontal="right" vertical="center" shrinkToFit="1"/>
    </xf>
    <xf numFmtId="176" fontId="4" fillId="0" borderId="12" xfId="0" applyNumberFormat="1" applyFont="1" applyBorder="1" applyAlignment="1">
      <alignment horizontal="right" vertical="center"/>
    </xf>
    <xf numFmtId="176" fontId="4" fillId="0" borderId="11" xfId="0" applyNumberFormat="1" applyFont="1" applyBorder="1" applyAlignment="1">
      <alignment horizontal="right" vertical="center"/>
    </xf>
    <xf numFmtId="176" fontId="4" fillId="0" borderId="10" xfId="0" applyNumberFormat="1" applyFont="1" applyBorder="1" applyAlignment="1">
      <alignment horizontal="right" vertical="center"/>
    </xf>
    <xf numFmtId="176" fontId="4" fillId="0" borderId="24" xfId="0" applyNumberFormat="1" applyFont="1" applyBorder="1" applyAlignment="1">
      <alignment horizontal="right" vertical="center"/>
    </xf>
    <xf numFmtId="176" fontId="4" fillId="0" borderId="23" xfId="0" applyNumberFormat="1" applyFont="1" applyBorder="1" applyAlignment="1">
      <alignment horizontal="right" vertical="center"/>
    </xf>
    <xf numFmtId="176" fontId="4" fillId="0" borderId="22" xfId="0" applyNumberFormat="1" applyFont="1" applyBorder="1" applyAlignment="1">
      <alignment horizontal="right" vertical="center"/>
    </xf>
    <xf numFmtId="176" fontId="4" fillId="0" borderId="18" xfId="0" applyNumberFormat="1" applyFont="1" applyBorder="1" applyAlignment="1">
      <alignment horizontal="right" vertical="center"/>
    </xf>
    <xf numFmtId="176" fontId="4" fillId="0" borderId="17" xfId="0" applyNumberFormat="1" applyFont="1" applyBorder="1" applyAlignment="1">
      <alignment horizontal="right" vertical="center"/>
    </xf>
    <xf numFmtId="176" fontId="4" fillId="0" borderId="16" xfId="0" applyNumberFormat="1" applyFont="1" applyBorder="1" applyAlignment="1">
      <alignment horizontal="right" vertical="center"/>
    </xf>
    <xf numFmtId="176" fontId="4" fillId="0" borderId="7" xfId="0" applyNumberFormat="1" applyFont="1" applyBorder="1" applyAlignment="1">
      <alignment horizontal="right" vertical="center"/>
    </xf>
    <xf numFmtId="176" fontId="4" fillId="0" borderId="6" xfId="0" applyNumberFormat="1" applyFont="1" applyBorder="1" applyAlignment="1">
      <alignment horizontal="right" vertical="center"/>
    </xf>
    <xf numFmtId="176" fontId="4" fillId="0" borderId="5" xfId="0" applyNumberFormat="1" applyFont="1" applyBorder="1" applyAlignment="1">
      <alignment horizontal="right" vertical="center"/>
    </xf>
    <xf numFmtId="176" fontId="4" fillId="0" borderId="2" xfId="0" applyNumberFormat="1" applyFont="1" applyBorder="1" applyAlignment="1">
      <alignment horizontal="right" vertical="center"/>
    </xf>
    <xf numFmtId="176" fontId="4" fillId="0" borderId="1" xfId="0" applyNumberFormat="1" applyFont="1" applyBorder="1" applyAlignment="1">
      <alignment horizontal="right" vertical="center"/>
    </xf>
    <xf numFmtId="38" fontId="6" fillId="0" borderId="41" xfId="1" applyFont="1" applyBorder="1" applyAlignment="1">
      <alignment horizontal="center" vertical="center" wrapText="1"/>
    </xf>
    <xf numFmtId="38" fontId="6" fillId="0" borderId="39" xfId="1" applyFont="1" applyBorder="1" applyAlignment="1">
      <alignment horizontal="center" vertical="center"/>
    </xf>
    <xf numFmtId="38" fontId="6" fillId="0" borderId="21" xfId="1" applyFont="1" applyBorder="1" applyAlignment="1">
      <alignment horizontal="center" vertical="center"/>
    </xf>
    <xf numFmtId="38" fontId="6" fillId="0" borderId="41" xfId="1" applyFont="1" applyBorder="1" applyAlignment="1">
      <alignment horizontal="center" vertical="center" wrapText="1"/>
    </xf>
    <xf numFmtId="38" fontId="6" fillId="0" borderId="39" xfId="1" applyFont="1" applyBorder="1" applyAlignment="1">
      <alignment horizontal="center" vertical="center"/>
    </xf>
    <xf numFmtId="38" fontId="6" fillId="0" borderId="21" xfId="1" applyFont="1" applyBorder="1" applyAlignment="1">
      <alignment horizontal="center" vertical="center"/>
    </xf>
    <xf numFmtId="38" fontId="6" fillId="0" borderId="41" xfId="1" applyFont="1" applyBorder="1" applyAlignment="1">
      <alignment horizontal="center" vertical="center" wrapText="1"/>
    </xf>
    <xf numFmtId="38" fontId="6" fillId="0" borderId="39" xfId="1" applyFont="1" applyBorder="1" applyAlignment="1">
      <alignment horizontal="center" vertical="center"/>
    </xf>
    <xf numFmtId="38" fontId="6" fillId="0" borderId="21" xfId="1" applyFont="1" applyBorder="1" applyAlignment="1">
      <alignment horizontal="center" vertical="center"/>
    </xf>
    <xf numFmtId="38" fontId="6" fillId="0" borderId="41" xfId="1" applyFont="1" applyBorder="1" applyAlignment="1">
      <alignment horizontal="center" vertical="center" wrapText="1"/>
    </xf>
    <xf numFmtId="38" fontId="6" fillId="0" borderId="39" xfId="1" applyFont="1" applyBorder="1" applyAlignment="1">
      <alignment horizontal="center" vertical="center"/>
    </xf>
    <xf numFmtId="38" fontId="6" fillId="0" borderId="21" xfId="1" applyFont="1" applyBorder="1" applyAlignment="1">
      <alignment horizontal="center" vertical="center"/>
    </xf>
    <xf numFmtId="38" fontId="6" fillId="0" borderId="41" xfId="1" applyFont="1" applyBorder="1" applyAlignment="1">
      <alignment horizontal="center" vertical="center" wrapText="1"/>
    </xf>
    <xf numFmtId="38" fontId="6" fillId="0" borderId="39" xfId="1" applyFont="1" applyBorder="1" applyAlignment="1">
      <alignment horizontal="center" vertical="center"/>
    </xf>
    <xf numFmtId="38" fontId="6" fillId="0" borderId="21" xfId="1" applyFont="1" applyBorder="1" applyAlignment="1">
      <alignment horizontal="center" vertical="center"/>
    </xf>
    <xf numFmtId="38" fontId="6" fillId="0" borderId="41" xfId="1" applyFont="1" applyBorder="1" applyAlignment="1">
      <alignment horizontal="center" vertical="center" wrapText="1"/>
    </xf>
    <xf numFmtId="38" fontId="6" fillId="0" borderId="39" xfId="1" applyFont="1" applyBorder="1" applyAlignment="1">
      <alignment horizontal="center" vertical="center"/>
    </xf>
    <xf numFmtId="38" fontId="6" fillId="0" borderId="21" xfId="1" applyFont="1" applyBorder="1" applyAlignment="1">
      <alignment horizontal="center" vertical="center"/>
    </xf>
    <xf numFmtId="38" fontId="6" fillId="0" borderId="41" xfId="1" applyFont="1" applyBorder="1" applyAlignment="1">
      <alignment horizontal="center" vertical="center" wrapText="1"/>
    </xf>
    <xf numFmtId="38" fontId="6" fillId="0" borderId="39" xfId="1" applyFont="1" applyBorder="1" applyAlignment="1">
      <alignment horizontal="center" vertical="center"/>
    </xf>
    <xf numFmtId="38" fontId="6" fillId="0" borderId="21" xfId="1" applyFont="1" applyBorder="1" applyAlignment="1">
      <alignment horizontal="center" vertical="center"/>
    </xf>
    <xf numFmtId="177" fontId="4" fillId="0" borderId="16" xfId="0" applyNumberFormat="1" applyFont="1" applyFill="1" applyBorder="1" applyAlignment="1">
      <alignment horizontal="right" vertical="center"/>
    </xf>
    <xf numFmtId="38" fontId="6" fillId="0" borderId="41" xfId="1" applyFont="1" applyBorder="1" applyAlignment="1">
      <alignment horizontal="center" vertical="center" wrapText="1"/>
    </xf>
    <xf numFmtId="38" fontId="6" fillId="0" borderId="39" xfId="1" applyFont="1" applyBorder="1" applyAlignment="1">
      <alignment horizontal="center" vertical="center"/>
    </xf>
    <xf numFmtId="38" fontId="6" fillId="0" borderId="21" xfId="1" applyFont="1" applyBorder="1" applyAlignment="1">
      <alignment horizontal="center" vertical="center"/>
    </xf>
    <xf numFmtId="38" fontId="6" fillId="0" borderId="41" xfId="1" applyFont="1" applyBorder="1" applyAlignment="1">
      <alignment horizontal="center" vertical="center" wrapText="1"/>
    </xf>
    <xf numFmtId="38" fontId="6" fillId="0" borderId="39" xfId="1" applyFont="1" applyBorder="1" applyAlignment="1">
      <alignment horizontal="center" vertical="center"/>
    </xf>
    <xf numFmtId="38" fontId="6" fillId="0" borderId="21" xfId="1" applyFont="1" applyBorder="1" applyAlignment="1">
      <alignment horizontal="center" vertical="center"/>
    </xf>
    <xf numFmtId="38" fontId="6" fillId="0" borderId="41" xfId="1" applyFont="1" applyBorder="1" applyAlignment="1">
      <alignment horizontal="center" vertical="center" wrapText="1"/>
    </xf>
    <xf numFmtId="38" fontId="6" fillId="0" borderId="39" xfId="1" applyFont="1" applyBorder="1" applyAlignment="1">
      <alignment horizontal="center" vertical="center"/>
    </xf>
    <xf numFmtId="38" fontId="6" fillId="0" borderId="21" xfId="1" applyFont="1" applyBorder="1" applyAlignment="1">
      <alignment horizontal="center" vertical="center"/>
    </xf>
    <xf numFmtId="38" fontId="6" fillId="0" borderId="41" xfId="1" applyFont="1" applyBorder="1" applyAlignment="1">
      <alignment horizontal="center" vertical="center" wrapText="1"/>
    </xf>
    <xf numFmtId="38" fontId="6" fillId="0" borderId="39" xfId="1" applyFont="1" applyBorder="1" applyAlignment="1">
      <alignment horizontal="center" vertical="center"/>
    </xf>
    <xf numFmtId="38" fontId="6" fillId="0" borderId="21" xfId="1" applyFont="1" applyBorder="1" applyAlignment="1">
      <alignment horizontal="center" vertical="center"/>
    </xf>
    <xf numFmtId="38" fontId="6" fillId="0" borderId="41" xfId="1" applyFont="1" applyBorder="1" applyAlignment="1">
      <alignment horizontal="center" vertical="center" wrapText="1"/>
    </xf>
    <xf numFmtId="38" fontId="6" fillId="0" borderId="39" xfId="1" applyFont="1" applyBorder="1" applyAlignment="1">
      <alignment horizontal="center" vertical="center"/>
    </xf>
    <xf numFmtId="38" fontId="6" fillId="0" borderId="21" xfId="1" applyFont="1" applyBorder="1" applyAlignment="1">
      <alignment horizontal="center" vertical="center"/>
    </xf>
    <xf numFmtId="38" fontId="6" fillId="0" borderId="41" xfId="1" applyFont="1" applyBorder="1" applyAlignment="1">
      <alignment horizontal="center" vertical="center" wrapText="1"/>
    </xf>
    <xf numFmtId="38" fontId="6" fillId="0" borderId="39" xfId="1" applyFont="1" applyBorder="1" applyAlignment="1">
      <alignment horizontal="center" vertical="center"/>
    </xf>
    <xf numFmtId="38" fontId="6" fillId="0" borderId="21" xfId="1" applyFont="1" applyBorder="1" applyAlignment="1">
      <alignment horizontal="center" vertical="center"/>
    </xf>
    <xf numFmtId="38" fontId="6" fillId="0" borderId="41" xfId="1" applyFont="1" applyBorder="1" applyAlignment="1">
      <alignment horizontal="center" vertical="center" wrapText="1"/>
    </xf>
    <xf numFmtId="38" fontId="6" fillId="0" borderId="39" xfId="1" applyFont="1" applyBorder="1" applyAlignment="1">
      <alignment horizontal="center" vertical="center"/>
    </xf>
    <xf numFmtId="38" fontId="6" fillId="0" borderId="21" xfId="1" applyFont="1" applyBorder="1" applyAlignment="1">
      <alignment horizontal="center" vertical="center"/>
    </xf>
    <xf numFmtId="38" fontId="6" fillId="0" borderId="41" xfId="1" applyFont="1" applyBorder="1" applyAlignment="1">
      <alignment horizontal="center" vertical="center" wrapText="1"/>
    </xf>
    <xf numFmtId="38" fontId="6" fillId="0" borderId="39" xfId="1" applyFont="1" applyBorder="1" applyAlignment="1">
      <alignment horizontal="center" vertical="center"/>
    </xf>
    <xf numFmtId="38" fontId="6" fillId="0" borderId="21" xfId="1" applyFont="1" applyBorder="1" applyAlignment="1">
      <alignment horizontal="center" vertical="center"/>
    </xf>
    <xf numFmtId="38" fontId="6" fillId="0" borderId="41" xfId="1" applyFont="1" applyBorder="1" applyAlignment="1">
      <alignment horizontal="center" vertical="center" wrapText="1"/>
    </xf>
    <xf numFmtId="38" fontId="6" fillId="0" borderId="39" xfId="1" applyFont="1" applyBorder="1" applyAlignment="1">
      <alignment horizontal="center" vertical="center"/>
    </xf>
    <xf numFmtId="38" fontId="6" fillId="0" borderId="21" xfId="1" applyFont="1" applyBorder="1" applyAlignment="1">
      <alignment horizontal="center" vertical="center"/>
    </xf>
    <xf numFmtId="38" fontId="6" fillId="0" borderId="39" xfId="1" applyFont="1" applyBorder="1" applyAlignment="1">
      <alignment horizontal="center" vertical="center"/>
    </xf>
    <xf numFmtId="38" fontId="6" fillId="0" borderId="21" xfId="1" applyFont="1" applyBorder="1" applyAlignment="1">
      <alignment horizontal="center" vertical="center"/>
    </xf>
    <xf numFmtId="38" fontId="6" fillId="0" borderId="41" xfId="1" applyFont="1" applyBorder="1" applyAlignment="1">
      <alignment horizontal="center" vertical="center" wrapText="1"/>
    </xf>
    <xf numFmtId="38" fontId="6" fillId="0" borderId="41" xfId="1" applyFont="1" applyBorder="1" applyAlignment="1">
      <alignment horizontal="center" vertical="center" wrapText="1"/>
    </xf>
    <xf numFmtId="38" fontId="6" fillId="0" borderId="39" xfId="1" applyFont="1" applyBorder="1" applyAlignment="1">
      <alignment horizontal="center" vertical="center"/>
    </xf>
    <xf numFmtId="38" fontId="6" fillId="0" borderId="21" xfId="1" applyFont="1" applyBorder="1" applyAlignment="1">
      <alignment horizontal="center" vertical="center"/>
    </xf>
    <xf numFmtId="38" fontId="6" fillId="0" borderId="41" xfId="1" applyFont="1" applyBorder="1" applyAlignment="1">
      <alignment horizontal="center" vertical="center" wrapText="1"/>
    </xf>
    <xf numFmtId="38" fontId="6" fillId="0" borderId="39" xfId="1" applyFont="1" applyBorder="1" applyAlignment="1">
      <alignment horizontal="center" vertical="center"/>
    </xf>
    <xf numFmtId="38" fontId="6" fillId="0" borderId="21" xfId="1" applyFont="1" applyBorder="1" applyAlignment="1">
      <alignment horizontal="center" vertical="center"/>
    </xf>
    <xf numFmtId="38" fontId="6" fillId="0" borderId="41" xfId="1" applyFont="1" applyBorder="1" applyAlignment="1">
      <alignment horizontal="center" vertical="center" wrapText="1"/>
    </xf>
    <xf numFmtId="38" fontId="6" fillId="0" borderId="39" xfId="1" applyFont="1" applyBorder="1" applyAlignment="1">
      <alignment horizontal="center" vertical="center"/>
    </xf>
    <xf numFmtId="38" fontId="6" fillId="0" borderId="21" xfId="1" applyFont="1" applyBorder="1" applyAlignment="1">
      <alignment horizontal="center" vertical="center"/>
    </xf>
    <xf numFmtId="38" fontId="6" fillId="0" borderId="41" xfId="1" applyFont="1" applyBorder="1" applyAlignment="1">
      <alignment horizontal="center" vertical="center" wrapText="1"/>
    </xf>
    <xf numFmtId="38" fontId="6" fillId="0" borderId="39" xfId="1" applyFont="1" applyBorder="1" applyAlignment="1">
      <alignment horizontal="center" vertical="center"/>
    </xf>
    <xf numFmtId="38" fontId="6" fillId="0" borderId="21" xfId="1" applyFont="1" applyBorder="1" applyAlignment="1">
      <alignment horizontal="center" vertical="center"/>
    </xf>
    <xf numFmtId="38" fontId="6" fillId="0" borderId="41" xfId="1" applyFont="1" applyBorder="1" applyAlignment="1">
      <alignment horizontal="center" vertical="center" wrapText="1"/>
    </xf>
    <xf numFmtId="38" fontId="6" fillId="0" borderId="39" xfId="1" applyFont="1" applyBorder="1" applyAlignment="1">
      <alignment horizontal="center" vertical="center"/>
    </xf>
    <xf numFmtId="38" fontId="6" fillId="0" borderId="21" xfId="1" applyFont="1" applyBorder="1" applyAlignment="1">
      <alignment horizontal="center" vertical="center"/>
    </xf>
    <xf numFmtId="38" fontId="6" fillId="0" borderId="41" xfId="1" applyFont="1" applyBorder="1" applyAlignment="1">
      <alignment horizontal="center" vertical="center" wrapText="1"/>
    </xf>
    <xf numFmtId="38" fontId="6" fillId="0" borderId="39" xfId="1" applyFont="1" applyBorder="1" applyAlignment="1">
      <alignment horizontal="center" vertical="center"/>
    </xf>
    <xf numFmtId="38" fontId="6" fillId="0" borderId="21" xfId="1" applyFont="1" applyBorder="1" applyAlignment="1">
      <alignment horizontal="center" vertical="center"/>
    </xf>
    <xf numFmtId="38" fontId="6" fillId="0" borderId="41" xfId="1" applyFont="1" applyBorder="1" applyAlignment="1">
      <alignment horizontal="center" vertical="center" wrapText="1"/>
    </xf>
    <xf numFmtId="38" fontId="6" fillId="0" borderId="39" xfId="1" applyFont="1" applyBorder="1" applyAlignment="1">
      <alignment horizontal="center" vertical="center"/>
    </xf>
    <xf numFmtId="38" fontId="6" fillId="0" borderId="21" xfId="1" applyFont="1" applyBorder="1" applyAlignment="1">
      <alignment horizontal="center" vertical="center"/>
    </xf>
    <xf numFmtId="38" fontId="6" fillId="0" borderId="41" xfId="1" applyFont="1" applyBorder="1" applyAlignment="1">
      <alignment horizontal="center" vertical="center" wrapText="1"/>
    </xf>
    <xf numFmtId="38" fontId="6" fillId="0" borderId="39" xfId="1" applyFont="1" applyBorder="1" applyAlignment="1">
      <alignment horizontal="center" vertical="center"/>
    </xf>
    <xf numFmtId="38" fontId="6" fillId="0" borderId="21" xfId="1" applyFont="1" applyBorder="1" applyAlignment="1">
      <alignment horizontal="center" vertical="center"/>
    </xf>
    <xf numFmtId="38" fontId="6" fillId="0" borderId="39" xfId="1" applyFont="1" applyBorder="1" applyAlignment="1">
      <alignment horizontal="center" vertical="center"/>
    </xf>
    <xf numFmtId="38" fontId="6" fillId="0" borderId="21" xfId="1" applyFont="1" applyBorder="1" applyAlignment="1">
      <alignment horizontal="center" vertical="center"/>
    </xf>
    <xf numFmtId="38" fontId="6" fillId="0" borderId="41" xfId="1" applyFont="1" applyBorder="1" applyAlignment="1">
      <alignment horizontal="center" vertical="center" wrapText="1"/>
    </xf>
    <xf numFmtId="38" fontId="6" fillId="0" borderId="41" xfId="1" applyFont="1" applyBorder="1" applyAlignment="1">
      <alignment horizontal="center" vertical="center" wrapText="1"/>
    </xf>
    <xf numFmtId="38" fontId="6" fillId="0" borderId="39" xfId="1" applyFont="1" applyBorder="1" applyAlignment="1">
      <alignment horizontal="center" vertical="center"/>
    </xf>
    <xf numFmtId="38" fontId="6" fillId="0" borderId="21" xfId="1" applyFont="1" applyBorder="1" applyAlignment="1">
      <alignment horizontal="center" vertical="center"/>
    </xf>
    <xf numFmtId="38" fontId="6" fillId="0" borderId="41" xfId="1" applyFont="1" applyBorder="1" applyAlignment="1">
      <alignment horizontal="center" vertical="center" wrapText="1"/>
    </xf>
    <xf numFmtId="38" fontId="6" fillId="0" borderId="39" xfId="1" applyFont="1" applyBorder="1" applyAlignment="1">
      <alignment horizontal="center" vertical="center"/>
    </xf>
    <xf numFmtId="38" fontId="6" fillId="0" borderId="21" xfId="1" applyFont="1" applyBorder="1" applyAlignment="1">
      <alignment horizontal="center" vertical="center"/>
    </xf>
    <xf numFmtId="38" fontId="6" fillId="0" borderId="41" xfId="1" applyFont="1" applyBorder="1" applyAlignment="1">
      <alignment horizontal="center" vertical="center" wrapText="1"/>
    </xf>
    <xf numFmtId="38" fontId="6" fillId="0" borderId="39" xfId="1" applyFont="1" applyBorder="1" applyAlignment="1">
      <alignment horizontal="center" vertical="center"/>
    </xf>
    <xf numFmtId="38" fontId="6" fillId="0" borderId="21" xfId="1" applyFont="1" applyBorder="1" applyAlignment="1">
      <alignment horizontal="center" vertical="center"/>
    </xf>
    <xf numFmtId="177" fontId="4" fillId="0" borderId="17" xfId="0" applyNumberFormat="1" applyFont="1" applyFill="1" applyBorder="1" applyAlignment="1">
      <alignment horizontal="right" vertical="center"/>
    </xf>
    <xf numFmtId="38" fontId="6" fillId="0" borderId="41" xfId="1" applyFont="1" applyBorder="1" applyAlignment="1">
      <alignment horizontal="center" vertical="center" wrapText="1"/>
    </xf>
    <xf numFmtId="38" fontId="6" fillId="0" borderId="39" xfId="1" applyFont="1" applyBorder="1" applyAlignment="1">
      <alignment horizontal="center" vertical="center"/>
    </xf>
    <xf numFmtId="38" fontId="6" fillId="0" borderId="21" xfId="1" applyFont="1" applyBorder="1" applyAlignment="1">
      <alignment horizontal="center" vertical="center"/>
    </xf>
    <xf numFmtId="38" fontId="6" fillId="0" borderId="41" xfId="1" applyFont="1" applyBorder="1" applyAlignment="1">
      <alignment horizontal="center" vertical="center" wrapText="1"/>
    </xf>
    <xf numFmtId="38" fontId="6" fillId="0" borderId="39" xfId="1" applyFont="1" applyBorder="1" applyAlignment="1">
      <alignment horizontal="center" vertical="center"/>
    </xf>
    <xf numFmtId="38" fontId="6" fillId="0" borderId="21" xfId="1" applyFont="1" applyBorder="1" applyAlignment="1">
      <alignment horizontal="center" vertical="center"/>
    </xf>
    <xf numFmtId="38" fontId="6" fillId="0" borderId="41" xfId="1" applyFont="1" applyBorder="1" applyAlignment="1">
      <alignment horizontal="center" vertical="center" wrapText="1"/>
    </xf>
    <xf numFmtId="38" fontId="6" fillId="0" borderId="39" xfId="1" applyFont="1" applyBorder="1" applyAlignment="1">
      <alignment horizontal="center" vertical="center"/>
    </xf>
    <xf numFmtId="38" fontId="6" fillId="0" borderId="21" xfId="1" applyFont="1" applyBorder="1" applyAlignment="1">
      <alignment horizontal="center" vertical="center"/>
    </xf>
    <xf numFmtId="38" fontId="6" fillId="0" borderId="41" xfId="1" applyFont="1" applyBorder="1" applyAlignment="1">
      <alignment horizontal="center" vertical="center" wrapText="1"/>
    </xf>
    <xf numFmtId="38" fontId="6" fillId="0" borderId="39" xfId="1" applyFont="1" applyBorder="1" applyAlignment="1">
      <alignment horizontal="center" vertical="center"/>
    </xf>
    <xf numFmtId="38" fontId="6" fillId="0" borderId="21" xfId="1" applyFont="1" applyBorder="1" applyAlignment="1">
      <alignment horizontal="center" vertical="center"/>
    </xf>
    <xf numFmtId="38" fontId="6" fillId="0" borderId="41" xfId="1" applyFont="1" applyBorder="1" applyAlignment="1">
      <alignment horizontal="center" vertical="center" wrapText="1"/>
    </xf>
    <xf numFmtId="38" fontId="6" fillId="0" borderId="39" xfId="1" applyFont="1" applyBorder="1" applyAlignment="1">
      <alignment horizontal="center" vertical="center"/>
    </xf>
    <xf numFmtId="38" fontId="6" fillId="0" borderId="21" xfId="1" applyFont="1" applyBorder="1" applyAlignment="1">
      <alignment horizontal="center" vertical="center"/>
    </xf>
    <xf numFmtId="38" fontId="6" fillId="0" borderId="41" xfId="1" applyFont="1" applyBorder="1" applyAlignment="1">
      <alignment horizontal="center" vertical="center" wrapText="1"/>
    </xf>
    <xf numFmtId="38" fontId="6" fillId="0" borderId="39" xfId="1" applyFont="1" applyBorder="1" applyAlignment="1">
      <alignment horizontal="center" vertical="center"/>
    </xf>
    <xf numFmtId="38" fontId="6" fillId="0" borderId="21" xfId="1" applyFont="1" applyBorder="1" applyAlignment="1">
      <alignment horizontal="center" vertical="center"/>
    </xf>
    <xf numFmtId="38" fontId="6" fillId="0" borderId="41" xfId="1" applyFont="1" applyBorder="1" applyAlignment="1">
      <alignment horizontal="center" vertical="center" wrapText="1"/>
    </xf>
    <xf numFmtId="38" fontId="6" fillId="0" borderId="39" xfId="1" applyFont="1" applyBorder="1" applyAlignment="1">
      <alignment horizontal="center" vertical="center"/>
    </xf>
    <xf numFmtId="38" fontId="6" fillId="0" borderId="21" xfId="1" applyFont="1" applyBorder="1" applyAlignment="1">
      <alignment horizontal="center" vertical="center"/>
    </xf>
    <xf numFmtId="38" fontId="6" fillId="0" borderId="41" xfId="1" applyFont="1" applyBorder="1" applyAlignment="1">
      <alignment horizontal="center" vertical="center" wrapText="1"/>
    </xf>
    <xf numFmtId="38" fontId="6" fillId="0" borderId="39" xfId="1" applyFont="1" applyBorder="1" applyAlignment="1">
      <alignment horizontal="center" vertical="center"/>
    </xf>
    <xf numFmtId="38" fontId="6" fillId="0" borderId="21" xfId="1" applyFont="1" applyBorder="1" applyAlignment="1">
      <alignment horizontal="center" vertical="center"/>
    </xf>
    <xf numFmtId="38" fontId="6" fillId="0" borderId="41" xfId="1" applyFont="1" applyBorder="1" applyAlignment="1">
      <alignment horizontal="center" vertical="center" wrapText="1"/>
    </xf>
    <xf numFmtId="38" fontId="6" fillId="0" borderId="39" xfId="1" applyFont="1" applyBorder="1" applyAlignment="1">
      <alignment horizontal="center" vertical="center"/>
    </xf>
    <xf numFmtId="38" fontId="6" fillId="0" borderId="21" xfId="1" applyFont="1" applyBorder="1" applyAlignment="1">
      <alignment horizontal="center" vertical="center"/>
    </xf>
    <xf numFmtId="38" fontId="6" fillId="0" borderId="41" xfId="1" applyFont="1" applyBorder="1" applyAlignment="1">
      <alignment horizontal="center" vertical="center" wrapText="1"/>
    </xf>
    <xf numFmtId="38" fontId="6" fillId="0" borderId="21" xfId="1" applyFont="1" applyBorder="1" applyAlignment="1">
      <alignment horizontal="center" vertical="center"/>
    </xf>
    <xf numFmtId="38" fontId="6" fillId="0" borderId="39" xfId="1" applyFont="1" applyBorder="1" applyAlignment="1">
      <alignment horizontal="center" vertical="center"/>
    </xf>
    <xf numFmtId="38" fontId="6" fillId="0" borderId="41" xfId="1" applyFont="1" applyBorder="1" applyAlignment="1">
      <alignment horizontal="center" vertical="center" wrapText="1"/>
    </xf>
    <xf numFmtId="38" fontId="6" fillId="0" borderId="39" xfId="1" applyFont="1" applyBorder="1" applyAlignment="1">
      <alignment horizontal="center" vertical="center"/>
    </xf>
    <xf numFmtId="38" fontId="6" fillId="0" borderId="21" xfId="1" applyFont="1" applyBorder="1" applyAlignment="1">
      <alignment horizontal="center" vertical="center"/>
    </xf>
    <xf numFmtId="0" fontId="4" fillId="0" borderId="36" xfId="0" applyFont="1" applyBorder="1" applyAlignment="1">
      <alignment vertical="center" wrapText="1"/>
    </xf>
    <xf numFmtId="176" fontId="4" fillId="0" borderId="35" xfId="0" applyNumberFormat="1" applyFont="1" applyBorder="1" applyAlignment="1">
      <alignment horizontal="right" vertical="center" shrinkToFit="1"/>
    </xf>
    <xf numFmtId="176" fontId="4" fillId="0" borderId="34" xfId="0" applyNumberFormat="1" applyFont="1" applyBorder="1" applyAlignment="1">
      <alignment horizontal="right" vertical="center"/>
    </xf>
    <xf numFmtId="176" fontId="4" fillId="0" borderId="33" xfId="0" applyNumberFormat="1" applyFont="1" applyBorder="1" applyAlignment="1">
      <alignment horizontal="right" vertical="center"/>
    </xf>
    <xf numFmtId="176" fontId="4" fillId="0" borderId="32" xfId="0" applyNumberFormat="1" applyFont="1" applyBorder="1" applyAlignment="1">
      <alignment horizontal="right" vertical="center"/>
    </xf>
    <xf numFmtId="0" fontId="4" fillId="0" borderId="20" xfId="0" applyFont="1" applyBorder="1" applyAlignment="1">
      <alignment vertical="center" wrapText="1"/>
    </xf>
    <xf numFmtId="176" fontId="4" fillId="0" borderId="19" xfId="0" applyNumberFormat="1" applyFont="1" applyBorder="1" applyAlignment="1">
      <alignment horizontal="right" vertical="center" shrinkToFit="1"/>
    </xf>
    <xf numFmtId="0" fontId="4" fillId="0" borderId="21" xfId="0" applyFont="1" applyBorder="1" applyAlignment="1">
      <alignment vertical="center" wrapText="1"/>
    </xf>
    <xf numFmtId="176" fontId="4" fillId="0" borderId="30" xfId="0" applyNumberFormat="1" applyFont="1" applyBorder="1" applyAlignment="1">
      <alignment horizontal="right" vertical="center" shrinkToFit="1"/>
    </xf>
    <xf numFmtId="176" fontId="4" fillId="0" borderId="29" xfId="0" applyNumberFormat="1" applyFont="1" applyBorder="1" applyAlignment="1">
      <alignment horizontal="right" vertical="center"/>
    </xf>
    <xf numFmtId="176" fontId="4" fillId="0" borderId="28" xfId="0" applyNumberFormat="1" applyFont="1" applyBorder="1" applyAlignment="1">
      <alignment horizontal="right" vertical="center"/>
    </xf>
    <xf numFmtId="176" fontId="4" fillId="0" borderId="27" xfId="0" applyNumberFormat="1" applyFont="1" applyBorder="1" applyAlignment="1">
      <alignment horizontal="right" vertical="center"/>
    </xf>
    <xf numFmtId="0" fontId="4" fillId="0" borderId="20" xfId="0" applyFont="1" applyBorder="1">
      <alignment vertical="center"/>
    </xf>
    <xf numFmtId="0" fontId="4" fillId="0" borderId="31" xfId="0" applyFont="1" applyBorder="1">
      <alignment vertical="center"/>
    </xf>
    <xf numFmtId="38" fontId="10" fillId="0" borderId="0" xfId="1" applyFont="1" applyAlignment="1">
      <alignment horizontal="center" vertical="center"/>
    </xf>
    <xf numFmtId="38" fontId="9" fillId="0" borderId="0" xfId="1" applyFont="1" applyAlignment="1">
      <alignment horizontal="center" vertical="center"/>
    </xf>
    <xf numFmtId="38" fontId="6" fillId="0" borderId="44" xfId="1" applyFont="1" applyBorder="1" applyAlignment="1">
      <alignment horizontal="center" vertical="center"/>
    </xf>
    <xf numFmtId="38" fontId="6" fillId="0" borderId="45" xfId="1" applyFont="1" applyBorder="1" applyAlignment="1">
      <alignment horizontal="center" vertical="center"/>
    </xf>
    <xf numFmtId="38" fontId="6" fillId="0" borderId="46" xfId="1" applyFont="1" applyBorder="1" applyAlignment="1">
      <alignment horizontal="center" vertical="center"/>
    </xf>
    <xf numFmtId="38" fontId="6" fillId="0" borderId="47" xfId="1" applyFont="1" applyBorder="1" applyAlignment="1">
      <alignment horizontal="center" vertical="center"/>
    </xf>
    <xf numFmtId="38" fontId="6" fillId="0" borderId="48" xfId="1" applyFont="1" applyBorder="1" applyAlignment="1">
      <alignment horizontal="center" vertical="center"/>
    </xf>
    <xf numFmtId="38" fontId="6" fillId="0" borderId="49" xfId="1" applyFont="1" applyBorder="1" applyAlignment="1">
      <alignment horizontal="center" vertical="center"/>
    </xf>
    <xf numFmtId="38" fontId="6" fillId="0" borderId="50" xfId="1" applyFont="1" applyBorder="1" applyAlignment="1">
      <alignment horizontal="center" vertical="center"/>
    </xf>
    <xf numFmtId="38" fontId="6" fillId="0" borderId="25" xfId="1" applyFont="1" applyBorder="1" applyAlignment="1">
      <alignment horizontal="center" vertical="center"/>
    </xf>
    <xf numFmtId="38" fontId="6" fillId="0" borderId="51" xfId="1" applyFont="1" applyBorder="1" applyAlignment="1">
      <alignment horizontal="center" vertical="center"/>
    </xf>
    <xf numFmtId="38" fontId="6" fillId="0" borderId="41" xfId="1" applyFont="1" applyBorder="1" applyAlignment="1">
      <alignment horizontal="center" vertical="center" wrapText="1"/>
    </xf>
    <xf numFmtId="38" fontId="6" fillId="0" borderId="0" xfId="1" applyFont="1" applyBorder="1" applyAlignment="1">
      <alignment horizontal="center" vertical="center" wrapText="1"/>
    </xf>
    <xf numFmtId="38" fontId="6" fillId="0" borderId="52" xfId="1" applyFont="1" applyBorder="1" applyAlignment="1">
      <alignment horizontal="center" vertical="center" wrapText="1"/>
    </xf>
    <xf numFmtId="38" fontId="6" fillId="0" borderId="53" xfId="1" applyFont="1" applyBorder="1" applyAlignment="1">
      <alignment horizontal="center" vertical="center" wrapText="1"/>
    </xf>
    <xf numFmtId="38" fontId="6" fillId="0" borderId="54" xfId="1" applyFont="1" applyBorder="1" applyAlignment="1">
      <alignment horizontal="center" vertical="center" wrapText="1"/>
    </xf>
    <xf numFmtId="0" fontId="6" fillId="0" borderId="23" xfId="0" applyFont="1" applyBorder="1" applyAlignment="1">
      <alignment horizontal="center" vertical="center" wrapText="1"/>
    </xf>
    <xf numFmtId="0" fontId="6" fillId="0" borderId="55" xfId="0" applyFont="1" applyBorder="1" applyAlignment="1">
      <alignment horizontal="center" vertical="center" wrapText="1"/>
    </xf>
    <xf numFmtId="0" fontId="7" fillId="0" borderId="56" xfId="0" applyFont="1" applyBorder="1" applyAlignment="1">
      <alignment horizontal="center" vertical="center"/>
    </xf>
    <xf numFmtId="0" fontId="7" fillId="0" borderId="57" xfId="0" applyFont="1" applyBorder="1" applyAlignment="1">
      <alignment horizontal="center" vertical="center"/>
    </xf>
    <xf numFmtId="38" fontId="4" fillId="0" borderId="39" xfId="1" applyFont="1" applyBorder="1" applyAlignment="1">
      <alignment horizontal="center" vertical="center"/>
    </xf>
    <xf numFmtId="38" fontId="4" fillId="0" borderId="42" xfId="1" applyFont="1" applyBorder="1" applyAlignment="1">
      <alignment horizontal="center" vertical="center"/>
    </xf>
    <xf numFmtId="38" fontId="4" fillId="0" borderId="26" xfId="1" applyFont="1" applyBorder="1" applyAlignment="1">
      <alignment horizontal="center" vertical="center"/>
    </xf>
    <xf numFmtId="38" fontId="4" fillId="0" borderId="43" xfId="1" applyFont="1" applyBorder="1" applyAlignment="1">
      <alignment horizontal="center" vertical="center"/>
    </xf>
    <xf numFmtId="0" fontId="6" fillId="0" borderId="23" xfId="2" applyFont="1" applyBorder="1" applyAlignment="1">
      <alignment horizontal="center" vertical="center" wrapText="1"/>
    </xf>
    <xf numFmtId="0" fontId="6" fillId="0" borderId="55" xfId="2" applyFont="1" applyBorder="1" applyAlignment="1">
      <alignment horizontal="center" vertical="center" wrapText="1"/>
    </xf>
    <xf numFmtId="0" fontId="7" fillId="0" borderId="56" xfId="2" applyFont="1" applyBorder="1" applyAlignment="1">
      <alignment horizontal="center" vertical="center"/>
    </xf>
    <xf numFmtId="0" fontId="7" fillId="0" borderId="57" xfId="2" applyFont="1" applyBorder="1" applyAlignment="1">
      <alignment horizontal="center" vertical="center"/>
    </xf>
    <xf numFmtId="38" fontId="6" fillId="0" borderId="23" xfId="1" applyFont="1" applyBorder="1" applyAlignment="1">
      <alignment horizontal="center" vertical="center" wrapText="1"/>
    </xf>
    <xf numFmtId="38" fontId="6" fillId="0" borderId="55" xfId="1" applyFont="1" applyBorder="1" applyAlignment="1">
      <alignment horizontal="center" vertical="center" wrapText="1"/>
    </xf>
    <xf numFmtId="0" fontId="7" fillId="0" borderId="22" xfId="2" applyFont="1" applyBorder="1" applyAlignment="1">
      <alignment horizontal="center" vertical="center"/>
    </xf>
    <xf numFmtId="0" fontId="7" fillId="0" borderId="58" xfId="2" applyFont="1" applyBorder="1" applyAlignment="1">
      <alignment horizontal="center" vertical="center"/>
    </xf>
    <xf numFmtId="38" fontId="6" fillId="0" borderId="59" xfId="1" applyFont="1" applyBorder="1" applyAlignment="1">
      <alignment horizontal="center" vertical="center"/>
    </xf>
    <xf numFmtId="38" fontId="6" fillId="0" borderId="39" xfId="1" applyFont="1" applyBorder="1" applyAlignment="1">
      <alignment horizontal="center" vertical="center"/>
    </xf>
    <xf numFmtId="38" fontId="6" fillId="0" borderId="60" xfId="1" applyFont="1" applyBorder="1" applyAlignment="1">
      <alignment horizontal="center" vertical="center"/>
    </xf>
    <xf numFmtId="38" fontId="6" fillId="0" borderId="61" xfId="1" applyFont="1" applyBorder="1" applyAlignment="1">
      <alignment horizontal="center" vertical="center"/>
    </xf>
    <xf numFmtId="38" fontId="6" fillId="0" borderId="21" xfId="1" applyFont="1" applyBorder="1" applyAlignment="1">
      <alignment horizontal="center" vertical="center"/>
    </xf>
    <xf numFmtId="38" fontId="6" fillId="0" borderId="62" xfId="1" applyFont="1" applyBorder="1" applyAlignment="1">
      <alignment horizontal="center" vertical="center"/>
    </xf>
    <xf numFmtId="38" fontId="6" fillId="0" borderId="63" xfId="1" applyFont="1" applyBorder="1" applyAlignment="1">
      <alignment horizontal="center" vertical="center"/>
    </xf>
    <xf numFmtId="38" fontId="6" fillId="0" borderId="30" xfId="1" applyFont="1" applyBorder="1" applyAlignment="1">
      <alignment horizontal="center" vertical="center"/>
    </xf>
    <xf numFmtId="38" fontId="6" fillId="0" borderId="64" xfId="1" applyFont="1" applyBorder="1" applyAlignment="1">
      <alignment horizontal="center" vertical="center"/>
    </xf>
    <xf numFmtId="38" fontId="6" fillId="0" borderId="65" xfId="1" applyFont="1" applyBorder="1" applyAlignment="1">
      <alignment horizontal="center" vertical="center" wrapText="1"/>
    </xf>
    <xf numFmtId="38" fontId="6" fillId="0" borderId="37" xfId="1" applyFont="1" applyBorder="1" applyAlignment="1">
      <alignment horizontal="center" vertical="center" wrapText="1"/>
    </xf>
    <xf numFmtId="0" fontId="7" fillId="0" borderId="22" xfId="0" applyFont="1" applyBorder="1" applyAlignment="1">
      <alignment horizontal="center" vertical="center"/>
    </xf>
    <xf numFmtId="0" fontId="7" fillId="0" borderId="58" xfId="0" applyFont="1" applyBorder="1" applyAlignment="1">
      <alignment horizontal="center" vertical="center"/>
    </xf>
  </cellXfs>
  <cellStyles count="4">
    <cellStyle name="桁区切り 2" xfId="1" xr:uid="{00000000-0005-0000-0000-000000000000}"/>
    <cellStyle name="標準" xfId="0" builtinId="0"/>
    <cellStyle name="標準 2" xfId="2" xr:uid="{00000000-0005-0000-0000-000002000000}"/>
    <cellStyle name="標準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158"/>
  <sheetViews>
    <sheetView tabSelected="1" view="pageBreakPreview" zoomScale="70" zoomScaleNormal="70" zoomScaleSheetLayoutView="70" workbookViewId="0">
      <selection sqref="A1:H1"/>
    </sheetView>
  </sheetViews>
  <sheetFormatPr defaultColWidth="10.140625" defaultRowHeight="18" customHeight="1" x14ac:dyDescent="0.15"/>
  <cols>
    <col min="1" max="1" width="37.140625" style="1" customWidth="1"/>
    <col min="2" max="2" width="53" style="1" customWidth="1"/>
    <col min="3" max="4" width="25.7109375" style="1" customWidth="1"/>
    <col min="5" max="5" width="26.28515625" style="1" customWidth="1"/>
    <col min="6" max="6" width="25.7109375" style="1" customWidth="1"/>
    <col min="7" max="8" width="25.5703125" style="1" customWidth="1"/>
    <col min="9" max="16384" width="10.140625" style="1"/>
  </cols>
  <sheetData>
    <row r="1" spans="1:8" ht="24" x14ac:dyDescent="0.15">
      <c r="A1" s="230" t="s">
        <v>2601</v>
      </c>
      <c r="B1" s="230"/>
      <c r="C1" s="230"/>
      <c r="D1" s="230"/>
      <c r="E1" s="230"/>
      <c r="F1" s="230"/>
      <c r="G1" s="230"/>
      <c r="H1" s="230"/>
    </row>
    <row r="2" spans="1:8" ht="18" customHeight="1" x14ac:dyDescent="0.15">
      <c r="A2" s="231"/>
      <c r="B2" s="231"/>
      <c r="C2" s="231"/>
      <c r="D2" s="231"/>
      <c r="E2" s="231"/>
      <c r="F2" s="231"/>
      <c r="G2" s="231"/>
      <c r="H2" s="231"/>
    </row>
    <row r="3" spans="1:8" thickBot="1" x14ac:dyDescent="0.2">
      <c r="A3" s="58" t="s">
        <v>48</v>
      </c>
    </row>
    <row r="4" spans="1:8" ht="18" customHeight="1" x14ac:dyDescent="0.15">
      <c r="A4" s="232" t="s">
        <v>47</v>
      </c>
      <c r="B4" s="235" t="s">
        <v>46</v>
      </c>
      <c r="C4" s="238" t="s">
        <v>45</v>
      </c>
      <c r="D4" s="241" t="s">
        <v>44</v>
      </c>
      <c r="E4" s="213"/>
      <c r="F4" s="56"/>
      <c r="G4" s="56"/>
      <c r="H4" s="55"/>
    </row>
    <row r="5" spans="1:8" ht="18" customHeight="1" x14ac:dyDescent="0.15">
      <c r="A5" s="233"/>
      <c r="B5" s="236"/>
      <c r="C5" s="239"/>
      <c r="D5" s="242"/>
      <c r="E5" s="244" t="s">
        <v>43</v>
      </c>
      <c r="F5" s="246" t="s">
        <v>42</v>
      </c>
      <c r="G5" s="246" t="s">
        <v>41</v>
      </c>
      <c r="H5" s="248" t="s">
        <v>40</v>
      </c>
    </row>
    <row r="6" spans="1:8" ht="18" customHeight="1" thickBot="1" x14ac:dyDescent="0.2">
      <c r="A6" s="234"/>
      <c r="B6" s="237"/>
      <c r="C6" s="240"/>
      <c r="D6" s="243"/>
      <c r="E6" s="245"/>
      <c r="F6" s="247"/>
      <c r="G6" s="247"/>
      <c r="H6" s="249"/>
    </row>
    <row r="7" spans="1:8" s="60" customFormat="1" ht="18" customHeight="1" thickTop="1" x14ac:dyDescent="0.15">
      <c r="A7" s="214"/>
      <c r="B7" s="215"/>
      <c r="C7" s="52"/>
      <c r="D7" s="51" t="s">
        <v>39</v>
      </c>
      <c r="E7" s="50" t="s">
        <v>39</v>
      </c>
      <c r="F7" s="49" t="s">
        <v>39</v>
      </c>
      <c r="G7" s="49" t="s">
        <v>39</v>
      </c>
      <c r="H7" s="48" t="s">
        <v>39</v>
      </c>
    </row>
    <row r="8" spans="1:8" ht="21.75" customHeight="1" x14ac:dyDescent="0.15">
      <c r="A8" s="250" t="s">
        <v>38</v>
      </c>
      <c r="B8" s="216" t="s">
        <v>37</v>
      </c>
      <c r="C8" s="217">
        <v>4044</v>
      </c>
      <c r="D8" s="218">
        <f>QUOTIENT(981307440961128,1000000)</f>
        <v>981307440</v>
      </c>
      <c r="E8" s="218">
        <f>QUOTIENT(355420586719204,1000000)</f>
        <v>355420586</v>
      </c>
      <c r="F8" s="219">
        <f>QUOTIENT(313655045656349,1000000)</f>
        <v>313655045</v>
      </c>
      <c r="G8" s="219">
        <f>QUOTIENT(298138939289290,1000000)</f>
        <v>298138939</v>
      </c>
      <c r="H8" s="220">
        <f>QUOTIENT(14092869296285,1000000)</f>
        <v>14092869</v>
      </c>
    </row>
    <row r="9" spans="1:8" ht="21.75" customHeight="1" x14ac:dyDescent="0.15">
      <c r="A9" s="250"/>
      <c r="B9" s="221" t="s">
        <v>36</v>
      </c>
      <c r="C9" s="222">
        <v>12</v>
      </c>
      <c r="D9" s="86">
        <f>QUOTIENT(33154500,1000000)</f>
        <v>33</v>
      </c>
      <c r="E9" s="86">
        <f>QUOTIENT(33154500,1000000)</f>
        <v>33</v>
      </c>
      <c r="F9" s="87">
        <f t="shared" ref="F9:H10" si="0">QUOTIENT(0,1000000)</f>
        <v>0</v>
      </c>
      <c r="G9" s="87">
        <f t="shared" si="0"/>
        <v>0</v>
      </c>
      <c r="H9" s="88">
        <f t="shared" si="0"/>
        <v>0</v>
      </c>
    </row>
    <row r="10" spans="1:8" ht="21.75" customHeight="1" x14ac:dyDescent="0.15">
      <c r="A10" s="250"/>
      <c r="B10" s="221" t="s">
        <v>35</v>
      </c>
      <c r="C10" s="222">
        <v>137</v>
      </c>
      <c r="D10" s="86">
        <f>QUOTIENT(0,1000000)</f>
        <v>0</v>
      </c>
      <c r="E10" s="86">
        <f>QUOTIENT(0,1000000)</f>
        <v>0</v>
      </c>
      <c r="F10" s="87">
        <f t="shared" si="0"/>
        <v>0</v>
      </c>
      <c r="G10" s="87">
        <f t="shared" si="0"/>
        <v>0</v>
      </c>
      <c r="H10" s="88">
        <f t="shared" si="0"/>
        <v>0</v>
      </c>
    </row>
    <row r="11" spans="1:8" ht="21.75" customHeight="1" x14ac:dyDescent="0.15">
      <c r="A11" s="250"/>
      <c r="B11" s="223" t="s">
        <v>34</v>
      </c>
      <c r="C11" s="224">
        <v>1</v>
      </c>
      <c r="D11" s="225">
        <f>QUOTIENT(189874318200,1000000)</f>
        <v>189874</v>
      </c>
      <c r="E11" s="225">
        <f>QUOTIENT(145228161400,1000000)</f>
        <v>145228</v>
      </c>
      <c r="F11" s="226">
        <f>QUOTIENT(8353191700,1000000)</f>
        <v>8353</v>
      </c>
      <c r="G11" s="226">
        <f>QUOTIENT(34821096100,1000000)</f>
        <v>34821</v>
      </c>
      <c r="H11" s="227">
        <f>QUOTIENT(1471869000,1000000)</f>
        <v>1471</v>
      </c>
    </row>
    <row r="12" spans="1:8" ht="21.75" customHeight="1" x14ac:dyDescent="0.15">
      <c r="A12" s="250"/>
      <c r="B12" s="221" t="s">
        <v>33</v>
      </c>
      <c r="C12" s="222">
        <v>63</v>
      </c>
      <c r="D12" s="86">
        <f>QUOTIENT(15527260515200,1000000)</f>
        <v>15527260</v>
      </c>
      <c r="E12" s="86">
        <f>QUOTIENT(3820677374400,1000000)</f>
        <v>3820677</v>
      </c>
      <c r="F12" s="87">
        <f>QUOTIENT(4380864136750,1000000)</f>
        <v>4380864</v>
      </c>
      <c r="G12" s="87">
        <f>QUOTIENT(7158834971700,1000000)</f>
        <v>7158834</v>
      </c>
      <c r="H12" s="88">
        <f>QUOTIENT(166884032350,1000000)</f>
        <v>166884</v>
      </c>
    </row>
    <row r="13" spans="1:8" ht="21.75" customHeight="1" x14ac:dyDescent="0.15">
      <c r="A13" s="250"/>
      <c r="B13" s="228" t="s">
        <v>32</v>
      </c>
      <c r="C13" s="222">
        <v>295</v>
      </c>
      <c r="D13" s="86">
        <f>QUOTIENT(89797296073840,1000000)</f>
        <v>89797296</v>
      </c>
      <c r="E13" s="86">
        <f>QUOTIENT(6489529620107,1000000)</f>
        <v>6489529</v>
      </c>
      <c r="F13" s="87">
        <f>QUOTIENT(3619098701472,1000000)</f>
        <v>3619098</v>
      </c>
      <c r="G13" s="87">
        <f>QUOTIENT(79466296766171,1000000)</f>
        <v>79466296</v>
      </c>
      <c r="H13" s="88">
        <f>QUOTIENT(222370986089,1000000)</f>
        <v>222370</v>
      </c>
    </row>
    <row r="14" spans="1:8" ht="21.75" customHeight="1" x14ac:dyDescent="0.15">
      <c r="A14" s="251"/>
      <c r="B14" s="229" t="s">
        <v>31</v>
      </c>
      <c r="C14" s="224">
        <v>36</v>
      </c>
      <c r="D14" s="225">
        <f>QUOTIENT(635120843930,1000000)</f>
        <v>635120</v>
      </c>
      <c r="E14" s="225">
        <f>QUOTIENT(400451295716,1000000)</f>
        <v>400451</v>
      </c>
      <c r="F14" s="226">
        <f>QUOTIENT(7247349717,1000000)</f>
        <v>7247</v>
      </c>
      <c r="G14" s="226">
        <f>QUOTIENT(211372991492,1000000)</f>
        <v>211372</v>
      </c>
      <c r="H14" s="227">
        <f>QUOTIENT(16049207005,1000000)</f>
        <v>16049</v>
      </c>
    </row>
    <row r="15" spans="1:8" ht="21.75" customHeight="1" x14ac:dyDescent="0.15">
      <c r="A15" s="30" t="s">
        <v>30</v>
      </c>
      <c r="B15" s="78" t="s">
        <v>29</v>
      </c>
      <c r="C15" s="79">
        <v>26</v>
      </c>
      <c r="D15" s="80">
        <f>QUOTIENT(179961644264,1000000)</f>
        <v>179961</v>
      </c>
      <c r="E15" s="80">
        <f>QUOTIENT(163561952753,1000000)</f>
        <v>163561</v>
      </c>
      <c r="F15" s="81">
        <f>QUOTIENT(666606849,1000000)</f>
        <v>666</v>
      </c>
      <c r="G15" s="81">
        <f>QUOTIENT(369344000,1000000)</f>
        <v>369</v>
      </c>
      <c r="H15" s="82">
        <f>QUOTIENT(15363740662,1000000)</f>
        <v>15363</v>
      </c>
    </row>
    <row r="16" spans="1:8" ht="21.75" customHeight="1" x14ac:dyDescent="0.15">
      <c r="A16" s="252" t="s">
        <v>28</v>
      </c>
      <c r="B16" s="17" t="s">
        <v>27</v>
      </c>
      <c r="C16" s="16">
        <v>3551</v>
      </c>
      <c r="D16" s="83">
        <f>QUOTIENT(64826200000000,1000000)</f>
        <v>64826200</v>
      </c>
      <c r="E16" s="83">
        <f>QUOTIENT(11058650210000,1000000)</f>
        <v>11058650</v>
      </c>
      <c r="F16" s="84">
        <f>QUOTIENT(29127342630000,1000000)</f>
        <v>29127342</v>
      </c>
      <c r="G16" s="84">
        <f>QUOTIENT(24475277630000,1000000)</f>
        <v>24475277</v>
      </c>
      <c r="H16" s="85">
        <f>QUOTIENT(164929530000,1000000)</f>
        <v>164929</v>
      </c>
    </row>
    <row r="17" spans="1:8" ht="21.75" customHeight="1" x14ac:dyDescent="0.15">
      <c r="A17" s="250"/>
      <c r="B17" s="23" t="s">
        <v>26</v>
      </c>
      <c r="C17" s="22">
        <v>3382</v>
      </c>
      <c r="D17" s="86">
        <f>QUOTIENT(14675988527000,1000000)</f>
        <v>14675988</v>
      </c>
      <c r="E17" s="86">
        <f>QUOTIENT(503104236000,1000000)</f>
        <v>503104</v>
      </c>
      <c r="F17" s="87">
        <f>QUOTIENT(9550486652000,1000000)</f>
        <v>9550486</v>
      </c>
      <c r="G17" s="87">
        <f>QUOTIENT(4584369639000,1000000)</f>
        <v>4584369</v>
      </c>
      <c r="H17" s="88">
        <f>QUOTIENT(38028000000,1000000)</f>
        <v>38028</v>
      </c>
    </row>
    <row r="18" spans="1:8" ht="21.75" customHeight="1" x14ac:dyDescent="0.15">
      <c r="A18" s="250"/>
      <c r="B18" s="24" t="s">
        <v>25</v>
      </c>
      <c r="C18" s="22">
        <v>553</v>
      </c>
      <c r="D18" s="86">
        <f>QUOTIENT(17813200000000,1000000)</f>
        <v>17813200</v>
      </c>
      <c r="E18" s="86">
        <f>QUOTIENT(1359313200000,1000000)</f>
        <v>1359313</v>
      </c>
      <c r="F18" s="87">
        <f>QUOTIENT(6506215700000,1000000)</f>
        <v>6506215</v>
      </c>
      <c r="G18" s="87">
        <f>QUOTIENT(9842929100000,1000000)</f>
        <v>9842929</v>
      </c>
      <c r="H18" s="88">
        <f>QUOTIENT(104742000000,1000000)</f>
        <v>104742</v>
      </c>
    </row>
    <row r="19" spans="1:8" ht="21.75" customHeight="1" x14ac:dyDescent="0.15">
      <c r="A19" s="250"/>
      <c r="B19" s="23" t="s">
        <v>24</v>
      </c>
      <c r="C19" s="22">
        <v>2122</v>
      </c>
      <c r="D19" s="86">
        <f>QUOTIENT(54431400000000,1000000)</f>
        <v>54431400</v>
      </c>
      <c r="E19" s="86">
        <f>QUOTIENT(8157075560000,1000000)</f>
        <v>8157075</v>
      </c>
      <c r="F19" s="87">
        <f>QUOTIENT(19064607440000,1000000)</f>
        <v>19064607</v>
      </c>
      <c r="G19" s="87">
        <f>QUOTIENT(27198870000000,1000000)</f>
        <v>27198870</v>
      </c>
      <c r="H19" s="88">
        <f>QUOTIENT(10847000000,1000000)</f>
        <v>10847</v>
      </c>
    </row>
    <row r="20" spans="1:8" ht="21.75" customHeight="1" x14ac:dyDescent="0.15">
      <c r="A20" s="250"/>
      <c r="B20" s="23" t="s">
        <v>23</v>
      </c>
      <c r="C20" s="22">
        <v>531</v>
      </c>
      <c r="D20" s="86">
        <f>QUOTIENT(5281553000000,1000000)</f>
        <v>5281553</v>
      </c>
      <c r="E20" s="86">
        <f>QUOTIENT(258873300000,1000000)</f>
        <v>258873</v>
      </c>
      <c r="F20" s="87">
        <f>QUOTIENT(78755400000,1000000)</f>
        <v>78755</v>
      </c>
      <c r="G20" s="87">
        <f>QUOTIENT(4943924300000,1000000)</f>
        <v>4943924</v>
      </c>
      <c r="H20" s="88">
        <f>QUOTIENT(0,1000000)</f>
        <v>0</v>
      </c>
    </row>
    <row r="21" spans="1:8" ht="21.75" customHeight="1" x14ac:dyDescent="0.15">
      <c r="A21" s="250"/>
      <c r="B21" s="23" t="s">
        <v>22</v>
      </c>
      <c r="C21" s="22">
        <v>181</v>
      </c>
      <c r="D21" s="86">
        <f>QUOTIENT(1299000000000,1000000)</f>
        <v>1299000</v>
      </c>
      <c r="E21" s="86">
        <f>QUOTIENT(344540000000,1000000)</f>
        <v>344540</v>
      </c>
      <c r="F21" s="87">
        <f>QUOTIENT(462430000000,1000000)</f>
        <v>462430</v>
      </c>
      <c r="G21" s="87">
        <f>QUOTIENT(491930000000,1000000)</f>
        <v>491930</v>
      </c>
      <c r="H21" s="88">
        <f>QUOTIENT(100000000,1000000)</f>
        <v>100</v>
      </c>
    </row>
    <row r="22" spans="1:8" ht="21.75" customHeight="1" x14ac:dyDescent="0.15">
      <c r="A22" s="250"/>
      <c r="B22" s="23" t="s">
        <v>21</v>
      </c>
      <c r="C22" s="22">
        <v>17</v>
      </c>
      <c r="D22" s="86">
        <f>QUOTIENT(111369000000,1000000)</f>
        <v>111369</v>
      </c>
      <c r="E22" s="86">
        <f>QUOTIENT(108079000000,1000000)</f>
        <v>108079</v>
      </c>
      <c r="F22" s="87">
        <f>QUOTIENT(1515000000,1000000)</f>
        <v>1515</v>
      </c>
      <c r="G22" s="87">
        <f>QUOTIENT(1775000000,1000000)</f>
        <v>1775</v>
      </c>
      <c r="H22" s="88">
        <f>QUOTIENT(0,1000000)</f>
        <v>0</v>
      </c>
    </row>
    <row r="23" spans="1:8" ht="21.75" customHeight="1" x14ac:dyDescent="0.15">
      <c r="A23" s="250"/>
      <c r="B23" s="23" t="s">
        <v>20</v>
      </c>
      <c r="C23" s="22">
        <v>0</v>
      </c>
      <c r="D23" s="86">
        <f>QUOTIENT(0,1000000)</f>
        <v>0</v>
      </c>
      <c r="E23" s="86">
        <f>QUOTIENT(0,1000000)</f>
        <v>0</v>
      </c>
      <c r="F23" s="87">
        <f>QUOTIENT(0,1000000)</f>
        <v>0</v>
      </c>
      <c r="G23" s="87">
        <f>QUOTIENT(0,1000000)</f>
        <v>0</v>
      </c>
      <c r="H23" s="88">
        <f>QUOTIENT(0,1000000)</f>
        <v>0</v>
      </c>
    </row>
    <row r="24" spans="1:8" ht="21.75" customHeight="1" x14ac:dyDescent="0.15">
      <c r="A24" s="250"/>
      <c r="B24" s="23" t="s">
        <v>19</v>
      </c>
      <c r="C24" s="22">
        <v>197</v>
      </c>
      <c r="D24" s="86">
        <f>QUOTIENT(4598570000000,1000000)</f>
        <v>4598570</v>
      </c>
      <c r="E24" s="86">
        <f>QUOTIENT(437910000000,1000000)</f>
        <v>437910</v>
      </c>
      <c r="F24" s="87">
        <f>QUOTIENT(2306330000000,1000000)</f>
        <v>2306330</v>
      </c>
      <c r="G24" s="87">
        <f>QUOTIENT(1790020000000,1000000)</f>
        <v>1790020</v>
      </c>
      <c r="H24" s="88">
        <f>QUOTIENT(64310000000,1000000)</f>
        <v>64310</v>
      </c>
    </row>
    <row r="25" spans="1:8" ht="21.75" customHeight="1" x14ac:dyDescent="0.15">
      <c r="A25" s="250"/>
      <c r="B25" s="23" t="s">
        <v>18</v>
      </c>
      <c r="C25" s="22">
        <v>4175</v>
      </c>
      <c r="D25" s="86">
        <f>QUOTIENT(91160110000000,1000000)</f>
        <v>91160110</v>
      </c>
      <c r="E25" s="86">
        <f>QUOTIENT(24532501800000,1000000)</f>
        <v>24532501</v>
      </c>
      <c r="F25" s="87">
        <f>QUOTIENT(29146269700000,1000000)</f>
        <v>29146269</v>
      </c>
      <c r="G25" s="87">
        <f>QUOTIENT(36805197000000,1000000)</f>
        <v>36805197</v>
      </c>
      <c r="H25" s="88">
        <f>QUOTIENT(676141500000,1000000)</f>
        <v>676141</v>
      </c>
    </row>
    <row r="26" spans="1:8" ht="21.75" customHeight="1" x14ac:dyDescent="0.15">
      <c r="A26" s="250"/>
      <c r="B26" s="23" t="s">
        <v>17</v>
      </c>
      <c r="C26" s="22">
        <v>808</v>
      </c>
      <c r="D26" s="86">
        <f>QUOTIENT(18558860000000,1000000)</f>
        <v>18558860</v>
      </c>
      <c r="E26" s="86">
        <f>QUOTIENT(5061333700000,1000000)</f>
        <v>5061333</v>
      </c>
      <c r="F26" s="87">
        <f>QUOTIENT(5984526100000,1000000)</f>
        <v>5984526</v>
      </c>
      <c r="G26" s="87">
        <f>QUOTIENT(7424709100000,1000000)</f>
        <v>7424709</v>
      </c>
      <c r="H26" s="88">
        <f>QUOTIENT(88291100000,1000000)</f>
        <v>88291</v>
      </c>
    </row>
    <row r="27" spans="1:8" ht="21.75" customHeight="1" x14ac:dyDescent="0.15">
      <c r="A27" s="250"/>
      <c r="B27" s="23" t="s">
        <v>16</v>
      </c>
      <c r="C27" s="22">
        <v>60857</v>
      </c>
      <c r="D27" s="86">
        <f>QUOTIENT(14706686262000,1000000)</f>
        <v>14706686</v>
      </c>
      <c r="E27" s="86">
        <f>QUOTIENT(3852470888000,1000000)</f>
        <v>3852470</v>
      </c>
      <c r="F27" s="87">
        <f>QUOTIENT(4545936764000,1000000)</f>
        <v>4545936</v>
      </c>
      <c r="G27" s="87">
        <f>QUOTIENT(6280273010000,1000000)</f>
        <v>6280273</v>
      </c>
      <c r="H27" s="88">
        <f>QUOTIENT(28005600000,1000000)</f>
        <v>28005</v>
      </c>
    </row>
    <row r="28" spans="1:8" ht="21.75" customHeight="1" x14ac:dyDescent="0.15">
      <c r="A28" s="250"/>
      <c r="B28" s="23" t="s">
        <v>15</v>
      </c>
      <c r="C28" s="22">
        <v>413</v>
      </c>
      <c r="D28" s="86">
        <f>QUOTIENT(3406366812000,1000000)</f>
        <v>3406366</v>
      </c>
      <c r="E28" s="86">
        <f>QUOTIENT(2860947288000,1000000)</f>
        <v>2860947</v>
      </c>
      <c r="F28" s="87">
        <f>QUOTIENT(462980784000,1000000)</f>
        <v>462980</v>
      </c>
      <c r="G28" s="87">
        <f>QUOTIENT(82193740000,1000000)</f>
        <v>82193</v>
      </c>
      <c r="H28" s="88">
        <f>QUOTIENT(245000000,1000000)</f>
        <v>245</v>
      </c>
    </row>
    <row r="29" spans="1:8" ht="21.75" customHeight="1" x14ac:dyDescent="0.15">
      <c r="A29" s="250"/>
      <c r="B29" s="23" t="s">
        <v>14</v>
      </c>
      <c r="C29" s="22">
        <v>29</v>
      </c>
      <c r="D29" s="86">
        <f>QUOTIENT(79200000000,1000000)</f>
        <v>79200</v>
      </c>
      <c r="E29" s="86">
        <f>QUOTIENT(13900000000,1000000)</f>
        <v>13900</v>
      </c>
      <c r="F29" s="87">
        <f>QUOTIENT(47700000000,1000000)</f>
        <v>47700</v>
      </c>
      <c r="G29" s="87">
        <f>QUOTIENT(17500000000,1000000)</f>
        <v>17500</v>
      </c>
      <c r="H29" s="88">
        <f>QUOTIENT(100000000,1000000)</f>
        <v>100</v>
      </c>
    </row>
    <row r="30" spans="1:8" ht="21.75" customHeight="1" x14ac:dyDescent="0.15">
      <c r="A30" s="250"/>
      <c r="B30" s="23" t="s">
        <v>13</v>
      </c>
      <c r="C30" s="22">
        <v>860</v>
      </c>
      <c r="D30" s="86">
        <f>QUOTIENT(2927050864000,1000000)</f>
        <v>2927050</v>
      </c>
      <c r="E30" s="86">
        <f>QUOTIENT(116150340000,1000000)</f>
        <v>116150</v>
      </c>
      <c r="F30" s="87">
        <f>QUOTIENT(1636782914000,1000000)</f>
        <v>1636782</v>
      </c>
      <c r="G30" s="87">
        <f>QUOTIENT(1174017610000,1000000)</f>
        <v>1174017</v>
      </c>
      <c r="H30" s="88">
        <f>QUOTIENT(100000000,1000000)</f>
        <v>100</v>
      </c>
    </row>
    <row r="31" spans="1:8" ht="21.75" customHeight="1" x14ac:dyDescent="0.15">
      <c r="A31" s="250"/>
      <c r="B31" s="23" t="s">
        <v>12</v>
      </c>
      <c r="C31" s="22">
        <v>301</v>
      </c>
      <c r="D31" s="86">
        <f>QUOTIENT(6584000000000,1000000)</f>
        <v>6584000</v>
      </c>
      <c r="E31" s="86">
        <f>QUOTIENT(1135336000000,1000000)</f>
        <v>1135336</v>
      </c>
      <c r="F31" s="87">
        <f>QUOTIENT(2046892000000,1000000)</f>
        <v>2046892</v>
      </c>
      <c r="G31" s="87">
        <f>QUOTIENT(3381162000000,1000000)</f>
        <v>3381162</v>
      </c>
      <c r="H31" s="88">
        <f>QUOTIENT(20610000000,1000000)</f>
        <v>20610</v>
      </c>
    </row>
    <row r="32" spans="1:8" ht="21.75" customHeight="1" x14ac:dyDescent="0.15">
      <c r="A32" s="250"/>
      <c r="B32" s="23" t="s">
        <v>11</v>
      </c>
      <c r="C32" s="22">
        <v>64</v>
      </c>
      <c r="D32" s="86">
        <f>QUOTIENT(1096150000000,1000000)</f>
        <v>1096150</v>
      </c>
      <c r="E32" s="86">
        <f>QUOTIENT(111600000000,1000000)</f>
        <v>111600</v>
      </c>
      <c r="F32" s="87">
        <f>QUOTIENT(480650000000,1000000)</f>
        <v>480650</v>
      </c>
      <c r="G32" s="87">
        <f>QUOTIENT(503900000000,1000000)</f>
        <v>503900</v>
      </c>
      <c r="H32" s="88">
        <f>QUOTIENT(0,1000000)</f>
        <v>0</v>
      </c>
    </row>
    <row r="33" spans="1:8" ht="21.75" customHeight="1" x14ac:dyDescent="0.15">
      <c r="A33" s="250"/>
      <c r="B33" s="23" t="s">
        <v>10</v>
      </c>
      <c r="C33" s="22">
        <v>0</v>
      </c>
      <c r="D33" s="86">
        <f t="shared" ref="D33:G35" si="1">QUOTIENT(0,1000000)</f>
        <v>0</v>
      </c>
      <c r="E33" s="86">
        <f t="shared" si="1"/>
        <v>0</v>
      </c>
      <c r="F33" s="87">
        <f t="shared" si="1"/>
        <v>0</v>
      </c>
      <c r="G33" s="87">
        <f t="shared" si="1"/>
        <v>0</v>
      </c>
      <c r="H33" s="88">
        <f>QUOTIENT(0,1000000)</f>
        <v>0</v>
      </c>
    </row>
    <row r="34" spans="1:8" ht="21.75" customHeight="1" x14ac:dyDescent="0.15">
      <c r="A34" s="250"/>
      <c r="B34" s="23" t="s">
        <v>9</v>
      </c>
      <c r="C34" s="22">
        <v>0</v>
      </c>
      <c r="D34" s="86">
        <f t="shared" si="1"/>
        <v>0</v>
      </c>
      <c r="E34" s="86">
        <f t="shared" si="1"/>
        <v>0</v>
      </c>
      <c r="F34" s="87">
        <f t="shared" si="1"/>
        <v>0</v>
      </c>
      <c r="G34" s="87">
        <f t="shared" si="1"/>
        <v>0</v>
      </c>
      <c r="H34" s="88">
        <f>QUOTIENT(0,1000000)</f>
        <v>0</v>
      </c>
    </row>
    <row r="35" spans="1:8" ht="21.75" customHeight="1" x14ac:dyDescent="0.15">
      <c r="A35" s="250"/>
      <c r="B35" s="23" t="s">
        <v>8</v>
      </c>
      <c r="C35" s="22">
        <v>0</v>
      </c>
      <c r="D35" s="86">
        <f t="shared" si="1"/>
        <v>0</v>
      </c>
      <c r="E35" s="86">
        <f t="shared" si="1"/>
        <v>0</v>
      </c>
      <c r="F35" s="87">
        <f t="shared" si="1"/>
        <v>0</v>
      </c>
      <c r="G35" s="87">
        <f t="shared" si="1"/>
        <v>0</v>
      </c>
      <c r="H35" s="88">
        <f>QUOTIENT(0,1000000)</f>
        <v>0</v>
      </c>
    </row>
    <row r="36" spans="1:8" ht="21.75" customHeight="1" x14ac:dyDescent="0.15">
      <c r="A36" s="251"/>
      <c r="B36" s="23" t="s">
        <v>7</v>
      </c>
      <c r="C36" s="22">
        <v>115</v>
      </c>
      <c r="D36" s="86">
        <f>QUOTIENT(9060000000,1000000)</f>
        <v>9060</v>
      </c>
      <c r="E36" s="86">
        <f>QUOTIENT(0,1000000)</f>
        <v>0</v>
      </c>
      <c r="F36" s="87">
        <f>QUOTIENT(0,1000000)</f>
        <v>0</v>
      </c>
      <c r="G36" s="87">
        <f>QUOTIENT(9060000000,1000000)</f>
        <v>9060</v>
      </c>
      <c r="H36" s="88">
        <f>QUOTIENT(0,1000000)</f>
        <v>0</v>
      </c>
    </row>
    <row r="37" spans="1:8" ht="21.75" customHeight="1" x14ac:dyDescent="0.15">
      <c r="A37" s="18" t="s">
        <v>6</v>
      </c>
      <c r="B37" s="17" t="s">
        <v>5</v>
      </c>
      <c r="C37" s="16">
        <v>2909</v>
      </c>
      <c r="D37" s="80">
        <v>19738974</v>
      </c>
      <c r="E37" s="80">
        <v>993500</v>
      </c>
      <c r="F37" s="81">
        <v>8043005</v>
      </c>
      <c r="G37" s="81">
        <v>9032348</v>
      </c>
      <c r="H37" s="82">
        <v>1670121</v>
      </c>
    </row>
    <row r="38" spans="1:8" ht="21.75" customHeight="1" x14ac:dyDescent="0.15">
      <c r="A38" s="252" t="s">
        <v>4</v>
      </c>
      <c r="B38" s="12" t="s">
        <v>3</v>
      </c>
      <c r="C38" s="11">
        <v>5624</v>
      </c>
      <c r="D38" s="89">
        <f>QUOTIENT(137726339668435,1000000)</f>
        <v>137726339</v>
      </c>
      <c r="E38" s="89">
        <f>QUOTIENT(89083735931833,1000000)</f>
        <v>89083735</v>
      </c>
      <c r="F38" s="90">
        <f>QUOTIENT(22447578989902,1000000)</f>
        <v>22447578</v>
      </c>
      <c r="G38" s="90">
        <f>QUOTIENT(15301651472308,1000000)</f>
        <v>15301651</v>
      </c>
      <c r="H38" s="91">
        <f>QUOTIENT(10893373274392,1000000)</f>
        <v>10893373</v>
      </c>
    </row>
    <row r="39" spans="1:8" ht="21.75" customHeight="1" thickBot="1" x14ac:dyDescent="0.2">
      <c r="A39" s="253"/>
      <c r="B39" s="7" t="s">
        <v>1153</v>
      </c>
      <c r="C39" s="6">
        <v>8366</v>
      </c>
      <c r="D39" s="92" t="s">
        <v>2178</v>
      </c>
      <c r="E39" s="92" t="s">
        <v>2178</v>
      </c>
      <c r="F39" s="92" t="s">
        <v>2178</v>
      </c>
      <c r="G39" s="92" t="s">
        <v>2178</v>
      </c>
      <c r="H39" s="93" t="s">
        <v>2178</v>
      </c>
    </row>
    <row r="40" spans="1:8" ht="18" customHeight="1" x14ac:dyDescent="0.15">
      <c r="A40" s="3" t="s">
        <v>1155</v>
      </c>
      <c r="B40" s="2"/>
      <c r="C40" s="2"/>
      <c r="D40" s="2"/>
      <c r="E40" s="2"/>
      <c r="F40" s="2"/>
      <c r="G40" s="2"/>
      <c r="H40" s="2"/>
    </row>
    <row r="41" spans="1:8" ht="18" customHeight="1" x14ac:dyDescent="0.15">
      <c r="A41" s="3" t="s">
        <v>2591</v>
      </c>
      <c r="B41" s="2"/>
      <c r="C41" s="2"/>
      <c r="D41" s="2"/>
      <c r="E41" s="2"/>
      <c r="F41" s="2"/>
      <c r="G41" s="2"/>
      <c r="H41" s="2"/>
    </row>
    <row r="42" spans="1:8" ht="18" customHeight="1" x14ac:dyDescent="0.15">
      <c r="A42" s="3" t="s">
        <v>1156</v>
      </c>
      <c r="B42" s="2"/>
      <c r="C42" s="2"/>
      <c r="D42" s="2"/>
      <c r="E42" s="2"/>
      <c r="F42" s="2"/>
      <c r="G42" s="2"/>
      <c r="H42" s="2"/>
    </row>
    <row r="43" spans="1:8" ht="18" customHeight="1" x14ac:dyDescent="0.15">
      <c r="A43" s="3" t="s">
        <v>2602</v>
      </c>
      <c r="B43" s="2"/>
      <c r="C43" s="2"/>
      <c r="D43" s="2"/>
      <c r="E43" s="2"/>
      <c r="F43" s="2"/>
      <c r="G43" s="2"/>
      <c r="H43" s="2"/>
    </row>
    <row r="44" spans="1:8" ht="24" x14ac:dyDescent="0.15">
      <c r="A44" s="230" t="s">
        <v>2599</v>
      </c>
      <c r="B44" s="230"/>
      <c r="C44" s="230"/>
      <c r="D44" s="230"/>
      <c r="E44" s="230"/>
      <c r="F44" s="230"/>
      <c r="G44" s="230"/>
      <c r="H44" s="230"/>
    </row>
    <row r="45" spans="1:8" ht="18" customHeight="1" x14ac:dyDescent="0.15">
      <c r="A45" s="231"/>
      <c r="B45" s="231"/>
      <c r="C45" s="231"/>
      <c r="D45" s="231"/>
      <c r="E45" s="231"/>
      <c r="F45" s="231"/>
      <c r="G45" s="231"/>
      <c r="H45" s="231"/>
    </row>
    <row r="46" spans="1:8" thickBot="1" x14ac:dyDescent="0.2">
      <c r="A46" s="58" t="s">
        <v>48</v>
      </c>
    </row>
    <row r="47" spans="1:8" ht="18" customHeight="1" x14ac:dyDescent="0.15">
      <c r="A47" s="232" t="s">
        <v>47</v>
      </c>
      <c r="B47" s="235" t="s">
        <v>46</v>
      </c>
      <c r="C47" s="238" t="s">
        <v>45</v>
      </c>
      <c r="D47" s="241" t="s">
        <v>44</v>
      </c>
      <c r="E47" s="210"/>
      <c r="F47" s="56"/>
      <c r="G47" s="56"/>
      <c r="H47" s="55"/>
    </row>
    <row r="48" spans="1:8" ht="18" customHeight="1" x14ac:dyDescent="0.15">
      <c r="A48" s="233"/>
      <c r="B48" s="236"/>
      <c r="C48" s="239"/>
      <c r="D48" s="242"/>
      <c r="E48" s="244" t="s">
        <v>43</v>
      </c>
      <c r="F48" s="246" t="s">
        <v>42</v>
      </c>
      <c r="G48" s="246" t="s">
        <v>41</v>
      </c>
      <c r="H48" s="248" t="s">
        <v>40</v>
      </c>
    </row>
    <row r="49" spans="1:8" ht="18" customHeight="1" thickBot="1" x14ac:dyDescent="0.2">
      <c r="A49" s="234"/>
      <c r="B49" s="237"/>
      <c r="C49" s="240"/>
      <c r="D49" s="243"/>
      <c r="E49" s="245"/>
      <c r="F49" s="247"/>
      <c r="G49" s="247"/>
      <c r="H49" s="249"/>
    </row>
    <row r="50" spans="1:8" s="60" customFormat="1" ht="18" customHeight="1" thickTop="1" x14ac:dyDescent="0.15">
      <c r="A50" s="212"/>
      <c r="B50" s="211"/>
      <c r="C50" s="52"/>
      <c r="D50" s="51" t="s">
        <v>39</v>
      </c>
      <c r="E50" s="50" t="s">
        <v>39</v>
      </c>
      <c r="F50" s="49" t="s">
        <v>39</v>
      </c>
      <c r="G50" s="49" t="s">
        <v>39</v>
      </c>
      <c r="H50" s="48" t="s">
        <v>39</v>
      </c>
    </row>
    <row r="51" spans="1:8" ht="21.75" customHeight="1" x14ac:dyDescent="0.15">
      <c r="A51" s="250" t="s">
        <v>38</v>
      </c>
      <c r="B51" s="216" t="s">
        <v>37</v>
      </c>
      <c r="C51" s="217">
        <v>4028</v>
      </c>
      <c r="D51" s="218">
        <f>QUOTIENT(982250382083557,1000000)</f>
        <v>982250382</v>
      </c>
      <c r="E51" s="218">
        <f>QUOTIENT(351738806526540,1000000)</f>
        <v>351738806</v>
      </c>
      <c r="F51" s="219">
        <f>QUOTIENT(320692266527041,1000000)</f>
        <v>320692266</v>
      </c>
      <c r="G51" s="219">
        <f>QUOTIENT(295935647168611,1000000)</f>
        <v>295935647</v>
      </c>
      <c r="H51" s="220">
        <f>QUOTIENT(13883661861363,1000000)</f>
        <v>13883661</v>
      </c>
    </row>
    <row r="52" spans="1:8" ht="21.75" customHeight="1" x14ac:dyDescent="0.15">
      <c r="A52" s="250"/>
      <c r="B52" s="221" t="s">
        <v>36</v>
      </c>
      <c r="C52" s="222">
        <v>12</v>
      </c>
      <c r="D52" s="86">
        <f>QUOTIENT(33154500,1000000)</f>
        <v>33</v>
      </c>
      <c r="E52" s="86">
        <f>QUOTIENT(33154500,1000000)</f>
        <v>33</v>
      </c>
      <c r="F52" s="87">
        <f>QUOTIENT(0,1000000)</f>
        <v>0</v>
      </c>
      <c r="G52" s="87">
        <f>QUOTIENT(0,1000000)</f>
        <v>0</v>
      </c>
      <c r="H52" s="88">
        <f>QUOTIENT(0,1000000)</f>
        <v>0</v>
      </c>
    </row>
    <row r="53" spans="1:8" ht="21.75" customHeight="1" x14ac:dyDescent="0.15">
      <c r="A53" s="250"/>
      <c r="B53" s="221" t="s">
        <v>35</v>
      </c>
      <c r="C53" s="222">
        <v>131</v>
      </c>
      <c r="D53" s="86">
        <f>QUOTIENT(9739687370,1000000)</f>
        <v>9739</v>
      </c>
      <c r="E53" s="86">
        <f>QUOTIENT(9395433204,1000000)</f>
        <v>9395</v>
      </c>
      <c r="F53" s="87">
        <f>QUOTIENT(171394070,1000000)</f>
        <v>171</v>
      </c>
      <c r="G53" s="87">
        <f>QUOTIENT(126287600,1000000)</f>
        <v>126</v>
      </c>
      <c r="H53" s="88">
        <f>QUOTIENT(46572496,1000000)</f>
        <v>46</v>
      </c>
    </row>
    <row r="54" spans="1:8" ht="21.75" customHeight="1" x14ac:dyDescent="0.15">
      <c r="A54" s="250"/>
      <c r="B54" s="223" t="s">
        <v>34</v>
      </c>
      <c r="C54" s="224">
        <v>1</v>
      </c>
      <c r="D54" s="225">
        <f>QUOTIENT(191007473400,1000000)</f>
        <v>191007</v>
      </c>
      <c r="E54" s="225">
        <f>QUOTIENT(145854299400,1000000)</f>
        <v>145854</v>
      </c>
      <c r="F54" s="226">
        <f>QUOTIENT(8406818700,1000000)</f>
        <v>8406</v>
      </c>
      <c r="G54" s="226">
        <f>QUOTIENT(35278378200,1000000)</f>
        <v>35278</v>
      </c>
      <c r="H54" s="227">
        <f>QUOTIENT(1467977100,1000000)</f>
        <v>1467</v>
      </c>
    </row>
    <row r="55" spans="1:8" ht="21.75" customHeight="1" x14ac:dyDescent="0.15">
      <c r="A55" s="250"/>
      <c r="B55" s="221" t="s">
        <v>33</v>
      </c>
      <c r="C55" s="222">
        <v>63</v>
      </c>
      <c r="D55" s="86">
        <f>QUOTIENT(14693046281800,1000000)</f>
        <v>14693046</v>
      </c>
      <c r="E55" s="86">
        <f>QUOTIENT(3782814475600,1000000)</f>
        <v>3782814</v>
      </c>
      <c r="F55" s="87">
        <f>QUOTIENT(3953935117300,1000000)</f>
        <v>3953935</v>
      </c>
      <c r="G55" s="87">
        <f>QUOTIENT(6770190066500,1000000)</f>
        <v>6770190</v>
      </c>
      <c r="H55" s="88">
        <f>QUOTIENT(186106622400,1000000)</f>
        <v>186106</v>
      </c>
    </row>
    <row r="56" spans="1:8" ht="21.75" customHeight="1" x14ac:dyDescent="0.15">
      <c r="A56" s="250"/>
      <c r="B56" s="228" t="s">
        <v>32</v>
      </c>
      <c r="C56" s="222">
        <v>294</v>
      </c>
      <c r="D56" s="86">
        <f>QUOTIENT(85427494683358,1000000)</f>
        <v>85427494</v>
      </c>
      <c r="E56" s="86">
        <f>QUOTIENT(6100110336505,1000000)</f>
        <v>6100110</v>
      </c>
      <c r="F56" s="87">
        <f>QUOTIENT(2932991881216,1000000)</f>
        <v>2932991</v>
      </c>
      <c r="G56" s="87">
        <f>QUOTIENT(76186173300259,1000000)</f>
        <v>76186173</v>
      </c>
      <c r="H56" s="88">
        <f>QUOTIENT(208219165376,1000000)</f>
        <v>208219</v>
      </c>
    </row>
    <row r="57" spans="1:8" ht="21.75" customHeight="1" x14ac:dyDescent="0.15">
      <c r="A57" s="251"/>
      <c r="B57" s="229" t="s">
        <v>31</v>
      </c>
      <c r="C57" s="224">
        <v>34</v>
      </c>
      <c r="D57" s="225">
        <f>QUOTIENT(559919248271,1000000)</f>
        <v>559919</v>
      </c>
      <c r="E57" s="225">
        <f>QUOTIENT(355788817459,1000000)</f>
        <v>355788</v>
      </c>
      <c r="F57" s="226">
        <f>QUOTIENT(7321379839,1000000)</f>
        <v>7321</v>
      </c>
      <c r="G57" s="226">
        <f>QUOTIENT(181255390452,1000000)</f>
        <v>181255</v>
      </c>
      <c r="H57" s="227">
        <f>QUOTIENT(15553660521,1000000)</f>
        <v>15553</v>
      </c>
    </row>
    <row r="58" spans="1:8" ht="21.75" customHeight="1" x14ac:dyDescent="0.15">
      <c r="A58" s="30" t="s">
        <v>30</v>
      </c>
      <c r="B58" s="78" t="s">
        <v>29</v>
      </c>
      <c r="C58" s="79">
        <v>26</v>
      </c>
      <c r="D58" s="80">
        <f>QUOTIENT(169520766469,1000000)</f>
        <v>169520</v>
      </c>
      <c r="E58" s="80">
        <f>QUOTIENT(153868148193,1000000)</f>
        <v>153868</v>
      </c>
      <c r="F58" s="81">
        <f>QUOTIENT(563059793,1000000)</f>
        <v>563</v>
      </c>
      <c r="G58" s="81">
        <f>QUOTIENT(327990000,1000000)</f>
        <v>327</v>
      </c>
      <c r="H58" s="82">
        <f>QUOTIENT(14761568483,1000000)</f>
        <v>14761</v>
      </c>
    </row>
    <row r="59" spans="1:8" ht="21.75" customHeight="1" x14ac:dyDescent="0.15">
      <c r="A59" s="252" t="s">
        <v>28</v>
      </c>
      <c r="B59" s="17" t="s">
        <v>27</v>
      </c>
      <c r="C59" s="16">
        <v>3555</v>
      </c>
      <c r="D59" s="83">
        <f>QUOTIENT(65062800000000,1000000)</f>
        <v>65062800</v>
      </c>
      <c r="E59" s="83">
        <f>QUOTIENT(11101533470000,1000000)</f>
        <v>11101533</v>
      </c>
      <c r="F59" s="84">
        <f>QUOTIENT(28877619080000,1000000)</f>
        <v>28877619</v>
      </c>
      <c r="G59" s="84">
        <f>QUOTIENT(24949397920000,1000000)</f>
        <v>24949397</v>
      </c>
      <c r="H59" s="85">
        <f>QUOTIENT(134249530000,1000000)</f>
        <v>134249</v>
      </c>
    </row>
    <row r="60" spans="1:8" ht="21.75" customHeight="1" x14ac:dyDescent="0.15">
      <c r="A60" s="250"/>
      <c r="B60" s="23" t="s">
        <v>26</v>
      </c>
      <c r="C60" s="22">
        <v>3432</v>
      </c>
      <c r="D60" s="86">
        <f>QUOTIENT(14883443791000,1000000)</f>
        <v>14883443</v>
      </c>
      <c r="E60" s="86">
        <f>QUOTIENT(494462436000,1000000)</f>
        <v>494462</v>
      </c>
      <c r="F60" s="87">
        <f>QUOTIENT(9497580387000,1000000)</f>
        <v>9497580</v>
      </c>
      <c r="G60" s="87">
        <f>QUOTIENT(4853372968000,1000000)</f>
        <v>4853372</v>
      </c>
      <c r="H60" s="88">
        <f>QUOTIENT(38028000000,1000000)</f>
        <v>38028</v>
      </c>
    </row>
    <row r="61" spans="1:8" ht="21.75" customHeight="1" x14ac:dyDescent="0.15">
      <c r="A61" s="250"/>
      <c r="B61" s="24" t="s">
        <v>25</v>
      </c>
      <c r="C61" s="22">
        <v>554</v>
      </c>
      <c r="D61" s="86">
        <f>QUOTIENT(17978900000000,1000000)</f>
        <v>17978900</v>
      </c>
      <c r="E61" s="86">
        <f>QUOTIENT(1423356400000,1000000)</f>
        <v>1423356</v>
      </c>
      <c r="F61" s="87">
        <f>QUOTIENT(6578163600000,1000000)</f>
        <v>6578163</v>
      </c>
      <c r="G61" s="87">
        <f>QUOTIENT(9937037000000,1000000)</f>
        <v>9937037</v>
      </c>
      <c r="H61" s="88">
        <f>QUOTIENT(40343000000,1000000)</f>
        <v>40343</v>
      </c>
    </row>
    <row r="62" spans="1:8" ht="21.75" customHeight="1" x14ac:dyDescent="0.15">
      <c r="A62" s="250"/>
      <c r="B62" s="23" t="s">
        <v>24</v>
      </c>
      <c r="C62" s="22">
        <v>2141</v>
      </c>
      <c r="D62" s="86">
        <f>QUOTIENT(54674700000000,1000000)</f>
        <v>54674700</v>
      </c>
      <c r="E62" s="86">
        <f>QUOTIENT(8186085560000,1000000)</f>
        <v>8186085</v>
      </c>
      <c r="F62" s="87">
        <f>QUOTIENT(19056151270000,1000000)</f>
        <v>19056151</v>
      </c>
      <c r="G62" s="87">
        <f>QUOTIENT(27414766170000,1000000)</f>
        <v>27414766</v>
      </c>
      <c r="H62" s="88">
        <f>QUOTIENT(17697000000,1000000)</f>
        <v>17697</v>
      </c>
    </row>
    <row r="63" spans="1:8" ht="21.75" customHeight="1" x14ac:dyDescent="0.15">
      <c r="A63" s="250"/>
      <c r="B63" s="23" t="s">
        <v>23</v>
      </c>
      <c r="C63" s="22">
        <v>536</v>
      </c>
      <c r="D63" s="86">
        <f>QUOTIENT(5295931000000,1000000)</f>
        <v>5295931</v>
      </c>
      <c r="E63" s="86">
        <f>QUOTIENT(277331000000,1000000)</f>
        <v>277331</v>
      </c>
      <c r="F63" s="87">
        <f>QUOTIENT(77869600000,1000000)</f>
        <v>77869</v>
      </c>
      <c r="G63" s="87">
        <f>QUOTIENT(4940730400000,1000000)</f>
        <v>4940730</v>
      </c>
      <c r="H63" s="88">
        <f>QUOTIENT(0,1000000)</f>
        <v>0</v>
      </c>
    </row>
    <row r="64" spans="1:8" ht="21.75" customHeight="1" x14ac:dyDescent="0.15">
      <c r="A64" s="250"/>
      <c r="B64" s="23" t="s">
        <v>22</v>
      </c>
      <c r="C64" s="22">
        <v>181</v>
      </c>
      <c r="D64" s="86">
        <f>QUOTIENT(1306500000000,1000000)</f>
        <v>1306500</v>
      </c>
      <c r="E64" s="86">
        <f>QUOTIENT(343940000000,1000000)</f>
        <v>343940</v>
      </c>
      <c r="F64" s="87">
        <f>QUOTIENT(464030000000,1000000)</f>
        <v>464030</v>
      </c>
      <c r="G64" s="87">
        <f>QUOTIENT(493330000000,1000000)</f>
        <v>493330</v>
      </c>
      <c r="H64" s="88">
        <f>QUOTIENT(5200000000,1000000)</f>
        <v>5200</v>
      </c>
    </row>
    <row r="65" spans="1:8" ht="21.75" customHeight="1" x14ac:dyDescent="0.15">
      <c r="A65" s="250"/>
      <c r="B65" s="23" t="s">
        <v>21</v>
      </c>
      <c r="C65" s="22">
        <v>19</v>
      </c>
      <c r="D65" s="86">
        <f>QUOTIENT(121410000000,1000000)</f>
        <v>121410</v>
      </c>
      <c r="E65" s="86">
        <f>QUOTIENT(108903000000,1000000)</f>
        <v>108903</v>
      </c>
      <c r="F65" s="87">
        <f>QUOTIENT(6220000000,1000000)</f>
        <v>6220</v>
      </c>
      <c r="G65" s="87">
        <f>QUOTIENT(6287000000,1000000)</f>
        <v>6287</v>
      </c>
      <c r="H65" s="88">
        <f>QUOTIENT(0,1000000)</f>
        <v>0</v>
      </c>
    </row>
    <row r="66" spans="1:8" ht="21.75" customHeight="1" x14ac:dyDescent="0.15">
      <c r="A66" s="250"/>
      <c r="B66" s="23" t="s">
        <v>20</v>
      </c>
      <c r="C66" s="22">
        <v>0</v>
      </c>
      <c r="D66" s="86">
        <f>QUOTIENT(0,1000000)</f>
        <v>0</v>
      </c>
      <c r="E66" s="86">
        <f>QUOTIENT(0,1000000)</f>
        <v>0</v>
      </c>
      <c r="F66" s="87">
        <f>QUOTIENT(0,1000000)</f>
        <v>0</v>
      </c>
      <c r="G66" s="87">
        <f>QUOTIENT(0,1000000)</f>
        <v>0</v>
      </c>
      <c r="H66" s="88">
        <f>QUOTIENT(0,1000000)</f>
        <v>0</v>
      </c>
    </row>
    <row r="67" spans="1:8" ht="21.75" customHeight="1" x14ac:dyDescent="0.15">
      <c r="A67" s="250"/>
      <c r="B67" s="23" t="s">
        <v>19</v>
      </c>
      <c r="C67" s="22">
        <v>197</v>
      </c>
      <c r="D67" s="86">
        <f>QUOTIENT(4618050000000,1000000)</f>
        <v>4618050</v>
      </c>
      <c r="E67" s="86">
        <f>QUOTIENT(411490000000,1000000)</f>
        <v>411490</v>
      </c>
      <c r="F67" s="87">
        <f>QUOTIENT(2300310000000,1000000)</f>
        <v>2300310</v>
      </c>
      <c r="G67" s="87">
        <f>QUOTIENT(1836740000000,1000000)</f>
        <v>1836740</v>
      </c>
      <c r="H67" s="88">
        <f>QUOTIENT(69510000000,1000000)</f>
        <v>69510</v>
      </c>
    </row>
    <row r="68" spans="1:8" ht="21.75" customHeight="1" x14ac:dyDescent="0.15">
      <c r="A68" s="250"/>
      <c r="B68" s="23" t="s">
        <v>18</v>
      </c>
      <c r="C68" s="22">
        <v>4183</v>
      </c>
      <c r="D68" s="86">
        <f>QUOTIENT(90806219000000,1000000)</f>
        <v>90806219</v>
      </c>
      <c r="E68" s="86">
        <f>QUOTIENT(24228754200000,1000000)</f>
        <v>24228754</v>
      </c>
      <c r="F68" s="87">
        <f>QUOTIENT(29279703300000,1000000)</f>
        <v>29279703</v>
      </c>
      <c r="G68" s="87">
        <f>QUOTIENT(36633498100000,1000000)</f>
        <v>36633498</v>
      </c>
      <c r="H68" s="88">
        <f>QUOTIENT(664263400000,1000000)</f>
        <v>664263</v>
      </c>
    </row>
    <row r="69" spans="1:8" ht="21.75" customHeight="1" x14ac:dyDescent="0.15">
      <c r="A69" s="250"/>
      <c r="B69" s="23" t="s">
        <v>17</v>
      </c>
      <c r="C69" s="22">
        <v>812</v>
      </c>
      <c r="D69" s="86">
        <f>QUOTIENT(18563860000000,1000000)</f>
        <v>18563860</v>
      </c>
      <c r="E69" s="86">
        <f>QUOTIENT(5055042000000,1000000)</f>
        <v>5055042</v>
      </c>
      <c r="F69" s="87">
        <f>QUOTIENT(5982359900000,1000000)</f>
        <v>5982359</v>
      </c>
      <c r="G69" s="87">
        <f>QUOTIENT(7440168100000,1000000)</f>
        <v>7440168</v>
      </c>
      <c r="H69" s="88">
        <f>QUOTIENT(86290000000,1000000)</f>
        <v>86290</v>
      </c>
    </row>
    <row r="70" spans="1:8" ht="21.75" customHeight="1" x14ac:dyDescent="0.15">
      <c r="A70" s="250"/>
      <c r="B70" s="23" t="s">
        <v>16</v>
      </c>
      <c r="C70" s="22">
        <v>61641</v>
      </c>
      <c r="D70" s="86">
        <f>QUOTIENT(14815116662000,1000000)</f>
        <v>14815116</v>
      </c>
      <c r="E70" s="86">
        <f>QUOTIENT(3875080888000,1000000)</f>
        <v>3875080</v>
      </c>
      <c r="F70" s="87">
        <f>QUOTIENT(4583088764000,1000000)</f>
        <v>4583088</v>
      </c>
      <c r="G70" s="87">
        <f>QUOTIENT(6329059510000,1000000)</f>
        <v>6329059</v>
      </c>
      <c r="H70" s="88">
        <f>QUOTIENT(27887500000,1000000)</f>
        <v>27887</v>
      </c>
    </row>
    <row r="71" spans="1:8" ht="21.75" customHeight="1" x14ac:dyDescent="0.15">
      <c r="A71" s="250"/>
      <c r="B71" s="23" t="s">
        <v>15</v>
      </c>
      <c r="C71" s="22">
        <v>415</v>
      </c>
      <c r="D71" s="86">
        <f>QUOTIENT(3416176812000,1000000)</f>
        <v>3416176</v>
      </c>
      <c r="E71" s="86">
        <f>QUOTIENT(2870757288000,1000000)</f>
        <v>2870757</v>
      </c>
      <c r="F71" s="87">
        <f>QUOTIENT(462980784000,1000000)</f>
        <v>462980</v>
      </c>
      <c r="G71" s="87">
        <f>QUOTIENT(82193740000,1000000)</f>
        <v>82193</v>
      </c>
      <c r="H71" s="88">
        <f>QUOTIENT(245000000,1000000)</f>
        <v>245</v>
      </c>
    </row>
    <row r="72" spans="1:8" ht="21.75" customHeight="1" x14ac:dyDescent="0.15">
      <c r="A72" s="250"/>
      <c r="B72" s="23" t="s">
        <v>14</v>
      </c>
      <c r="C72" s="22">
        <v>29</v>
      </c>
      <c r="D72" s="86">
        <f>QUOTIENT(79200000000,1000000)</f>
        <v>79200</v>
      </c>
      <c r="E72" s="86">
        <f>QUOTIENT(13900000000,1000000)</f>
        <v>13900</v>
      </c>
      <c r="F72" s="87">
        <f>QUOTIENT(47700000000,1000000)</f>
        <v>47700</v>
      </c>
      <c r="G72" s="87">
        <f>QUOTIENT(17500000000,1000000)</f>
        <v>17500</v>
      </c>
      <c r="H72" s="88">
        <f>QUOTIENT(100000000,1000000)</f>
        <v>100</v>
      </c>
    </row>
    <row r="73" spans="1:8" ht="21.75" customHeight="1" x14ac:dyDescent="0.15">
      <c r="A73" s="250"/>
      <c r="B73" s="23" t="s">
        <v>13</v>
      </c>
      <c r="C73" s="22">
        <v>867</v>
      </c>
      <c r="D73" s="86">
        <f>QUOTIENT(2997391184000,1000000)</f>
        <v>2997391</v>
      </c>
      <c r="E73" s="86">
        <f>QUOTIENT(117898340000,1000000)</f>
        <v>117898</v>
      </c>
      <c r="F73" s="87">
        <f>QUOTIENT(1679304954000,1000000)</f>
        <v>1679304</v>
      </c>
      <c r="G73" s="87">
        <f>QUOTIENT(1200087890000,1000000)</f>
        <v>1200087</v>
      </c>
      <c r="H73" s="88">
        <f>QUOTIENT(100000000,1000000)</f>
        <v>100</v>
      </c>
    </row>
    <row r="74" spans="1:8" ht="21.75" customHeight="1" x14ac:dyDescent="0.15">
      <c r="A74" s="250"/>
      <c r="B74" s="23" t="s">
        <v>12</v>
      </c>
      <c r="C74" s="22">
        <v>304</v>
      </c>
      <c r="D74" s="86">
        <f>QUOTIENT(6627700000000,1000000)</f>
        <v>6627700</v>
      </c>
      <c r="E74" s="86">
        <f>QUOTIENT(1131186000000,1000000)</f>
        <v>1131186</v>
      </c>
      <c r="F74" s="87">
        <f>QUOTIENT(2061942000000,1000000)</f>
        <v>2061942</v>
      </c>
      <c r="G74" s="87">
        <f>QUOTIENT(3413962000000,1000000)</f>
        <v>3413962</v>
      </c>
      <c r="H74" s="88">
        <f>QUOTIENT(20610000000,1000000)</f>
        <v>20610</v>
      </c>
    </row>
    <row r="75" spans="1:8" ht="21.75" customHeight="1" x14ac:dyDescent="0.15">
      <c r="A75" s="250"/>
      <c r="B75" s="23" t="s">
        <v>11</v>
      </c>
      <c r="C75" s="22">
        <v>66</v>
      </c>
      <c r="D75" s="86">
        <f>QUOTIENT(1106250000000,1000000)</f>
        <v>1106250</v>
      </c>
      <c r="E75" s="86">
        <f>QUOTIENT(117200000000,1000000)</f>
        <v>117200</v>
      </c>
      <c r="F75" s="87">
        <f>QUOTIENT(477150000000,1000000)</f>
        <v>477150</v>
      </c>
      <c r="G75" s="87">
        <f>QUOTIENT(511900000000,1000000)</f>
        <v>511900</v>
      </c>
      <c r="H75" s="88">
        <f>QUOTIENT(0,1000000)</f>
        <v>0</v>
      </c>
    </row>
    <row r="76" spans="1:8" ht="21.75" customHeight="1" x14ac:dyDescent="0.15">
      <c r="A76" s="250"/>
      <c r="B76" s="23" t="s">
        <v>10</v>
      </c>
      <c r="C76" s="22">
        <v>0</v>
      </c>
      <c r="D76" s="86">
        <f t="shared" ref="D76:G78" si="2">QUOTIENT(0,1000000)</f>
        <v>0</v>
      </c>
      <c r="E76" s="86">
        <f t="shared" si="2"/>
        <v>0</v>
      </c>
      <c r="F76" s="87">
        <f t="shared" si="2"/>
        <v>0</v>
      </c>
      <c r="G76" s="87">
        <f t="shared" si="2"/>
        <v>0</v>
      </c>
      <c r="H76" s="88">
        <f>QUOTIENT(0,1000000)</f>
        <v>0</v>
      </c>
    </row>
    <row r="77" spans="1:8" ht="21.75" customHeight="1" x14ac:dyDescent="0.15">
      <c r="A77" s="250"/>
      <c r="B77" s="23" t="s">
        <v>9</v>
      </c>
      <c r="C77" s="22">
        <v>0</v>
      </c>
      <c r="D77" s="86">
        <f t="shared" si="2"/>
        <v>0</v>
      </c>
      <c r="E77" s="86">
        <f t="shared" si="2"/>
        <v>0</v>
      </c>
      <c r="F77" s="87">
        <f t="shared" si="2"/>
        <v>0</v>
      </c>
      <c r="G77" s="87">
        <f t="shared" si="2"/>
        <v>0</v>
      </c>
      <c r="H77" s="88">
        <f>QUOTIENT(0,1000000)</f>
        <v>0</v>
      </c>
    </row>
    <row r="78" spans="1:8" ht="21.75" customHeight="1" x14ac:dyDescent="0.15">
      <c r="A78" s="250"/>
      <c r="B78" s="23" t="s">
        <v>8</v>
      </c>
      <c r="C78" s="22">
        <v>0</v>
      </c>
      <c r="D78" s="86">
        <f t="shared" si="2"/>
        <v>0</v>
      </c>
      <c r="E78" s="86">
        <f t="shared" si="2"/>
        <v>0</v>
      </c>
      <c r="F78" s="87">
        <f t="shared" si="2"/>
        <v>0</v>
      </c>
      <c r="G78" s="87">
        <f t="shared" si="2"/>
        <v>0</v>
      </c>
      <c r="H78" s="88">
        <f>QUOTIENT(0,1000000)</f>
        <v>0</v>
      </c>
    </row>
    <row r="79" spans="1:8" ht="21.75" customHeight="1" x14ac:dyDescent="0.15">
      <c r="A79" s="251"/>
      <c r="B79" s="23" t="s">
        <v>7</v>
      </c>
      <c r="C79" s="22">
        <v>110</v>
      </c>
      <c r="D79" s="86">
        <f>QUOTIENT(8630000000,1000000)</f>
        <v>8630</v>
      </c>
      <c r="E79" s="86">
        <f>QUOTIENT(0,1000000)</f>
        <v>0</v>
      </c>
      <c r="F79" s="87">
        <f>QUOTIENT(0,1000000)</f>
        <v>0</v>
      </c>
      <c r="G79" s="87">
        <f>QUOTIENT(8630000000,1000000)</f>
        <v>8630</v>
      </c>
      <c r="H79" s="88">
        <f>QUOTIENT(0,1000000)</f>
        <v>0</v>
      </c>
    </row>
    <row r="80" spans="1:8" ht="21.75" customHeight="1" x14ac:dyDescent="0.15">
      <c r="A80" s="18" t="s">
        <v>6</v>
      </c>
      <c r="B80" s="17" t="s">
        <v>5</v>
      </c>
      <c r="C80" s="16">
        <v>3136</v>
      </c>
      <c r="D80" s="80">
        <v>26518791</v>
      </c>
      <c r="E80" s="80">
        <v>887000</v>
      </c>
      <c r="F80" s="81">
        <v>12203432</v>
      </c>
      <c r="G80" s="81">
        <v>10876559</v>
      </c>
      <c r="H80" s="82">
        <v>2551800</v>
      </c>
    </row>
    <row r="81" spans="1:8" ht="21.75" customHeight="1" x14ac:dyDescent="0.15">
      <c r="A81" s="252" t="s">
        <v>4</v>
      </c>
      <c r="B81" s="12" t="s">
        <v>3</v>
      </c>
      <c r="C81" s="11">
        <v>5633</v>
      </c>
      <c r="D81" s="89">
        <f>QUOTIENT(133453469261137,1000000)</f>
        <v>133453469</v>
      </c>
      <c r="E81" s="89">
        <f>QUOTIENT(86371679439277,1000000)</f>
        <v>86371679</v>
      </c>
      <c r="F81" s="90">
        <f>QUOTIENT(21735158223575,1000000)</f>
        <v>21735158</v>
      </c>
      <c r="G81" s="90">
        <f>QUOTIENT(14812431632104,1000000)</f>
        <v>14812431</v>
      </c>
      <c r="H81" s="91">
        <f>QUOTIENT(10534199966181,1000000)</f>
        <v>10534199</v>
      </c>
    </row>
    <row r="82" spans="1:8" ht="21.75" customHeight="1" thickBot="1" x14ac:dyDescent="0.2">
      <c r="A82" s="253"/>
      <c r="B82" s="7" t="s">
        <v>1153</v>
      </c>
      <c r="C82" s="6">
        <v>8407</v>
      </c>
      <c r="D82" s="92" t="s">
        <v>2178</v>
      </c>
      <c r="E82" s="92" t="s">
        <v>2178</v>
      </c>
      <c r="F82" s="92" t="s">
        <v>2178</v>
      </c>
      <c r="G82" s="92" t="s">
        <v>2178</v>
      </c>
      <c r="H82" s="93" t="s">
        <v>2178</v>
      </c>
    </row>
    <row r="83" spans="1:8" ht="18" customHeight="1" x14ac:dyDescent="0.15">
      <c r="A83" s="3" t="s">
        <v>1155</v>
      </c>
      <c r="B83" s="2"/>
      <c r="C83" s="2"/>
      <c r="D83" s="2"/>
      <c r="E83" s="2"/>
      <c r="F83" s="2"/>
      <c r="G83" s="2"/>
      <c r="H83" s="2"/>
    </row>
    <row r="84" spans="1:8" ht="18" customHeight="1" x14ac:dyDescent="0.15">
      <c r="A84" s="3" t="s">
        <v>2591</v>
      </c>
      <c r="B84" s="2"/>
      <c r="C84" s="2"/>
      <c r="D84" s="2"/>
      <c r="E84" s="2"/>
      <c r="F84" s="2"/>
      <c r="G84" s="2"/>
      <c r="H84" s="2"/>
    </row>
    <row r="85" spans="1:8" ht="18" customHeight="1" x14ac:dyDescent="0.15">
      <c r="A85" s="3" t="s">
        <v>1156</v>
      </c>
      <c r="B85" s="2"/>
      <c r="C85" s="2"/>
      <c r="D85" s="2"/>
      <c r="E85" s="2"/>
      <c r="F85" s="2"/>
      <c r="G85" s="2"/>
      <c r="H85" s="2"/>
    </row>
    <row r="86" spans="1:8" ht="18" customHeight="1" x14ac:dyDescent="0.15">
      <c r="A86" s="3" t="s">
        <v>2600</v>
      </c>
      <c r="B86" s="2"/>
      <c r="C86" s="2"/>
      <c r="D86" s="2"/>
      <c r="E86" s="2"/>
      <c r="F86" s="2"/>
      <c r="G86" s="2"/>
      <c r="H86" s="2"/>
    </row>
    <row r="87" spans="1:8" ht="24" x14ac:dyDescent="0.15">
      <c r="A87" s="230" t="s">
        <v>2597</v>
      </c>
      <c r="B87" s="230"/>
      <c r="C87" s="230"/>
      <c r="D87" s="230"/>
      <c r="E87" s="230"/>
      <c r="F87" s="230"/>
      <c r="G87" s="230"/>
      <c r="H87" s="230"/>
    </row>
    <row r="88" spans="1:8" ht="18" customHeight="1" x14ac:dyDescent="0.15">
      <c r="A88" s="231"/>
      <c r="B88" s="231"/>
      <c r="C88" s="231"/>
      <c r="D88" s="231"/>
      <c r="E88" s="231"/>
      <c r="F88" s="231"/>
      <c r="G88" s="231"/>
      <c r="H88" s="231"/>
    </row>
    <row r="89" spans="1:8" thickBot="1" x14ac:dyDescent="0.2">
      <c r="A89" s="58" t="s">
        <v>48</v>
      </c>
    </row>
    <row r="90" spans="1:8" ht="18" customHeight="1" x14ac:dyDescent="0.15">
      <c r="A90" s="232" t="s">
        <v>47</v>
      </c>
      <c r="B90" s="235" t="s">
        <v>46</v>
      </c>
      <c r="C90" s="238" t="s">
        <v>45</v>
      </c>
      <c r="D90" s="241" t="s">
        <v>44</v>
      </c>
      <c r="E90" s="207"/>
      <c r="F90" s="56"/>
      <c r="G90" s="56"/>
      <c r="H90" s="55"/>
    </row>
    <row r="91" spans="1:8" ht="18" customHeight="1" x14ac:dyDescent="0.15">
      <c r="A91" s="233"/>
      <c r="B91" s="236"/>
      <c r="C91" s="239"/>
      <c r="D91" s="242"/>
      <c r="E91" s="244" t="s">
        <v>43</v>
      </c>
      <c r="F91" s="246" t="s">
        <v>42</v>
      </c>
      <c r="G91" s="246" t="s">
        <v>41</v>
      </c>
      <c r="H91" s="248" t="s">
        <v>40</v>
      </c>
    </row>
    <row r="92" spans="1:8" ht="18" customHeight="1" thickBot="1" x14ac:dyDescent="0.2">
      <c r="A92" s="234"/>
      <c r="B92" s="237"/>
      <c r="C92" s="240"/>
      <c r="D92" s="243"/>
      <c r="E92" s="245"/>
      <c r="F92" s="247"/>
      <c r="G92" s="247"/>
      <c r="H92" s="249"/>
    </row>
    <row r="93" spans="1:8" s="60" customFormat="1" ht="18" customHeight="1" thickTop="1" x14ac:dyDescent="0.15">
      <c r="A93" s="208"/>
      <c r="B93" s="209"/>
      <c r="C93" s="52"/>
      <c r="D93" s="51" t="s">
        <v>39</v>
      </c>
      <c r="E93" s="50" t="s">
        <v>39</v>
      </c>
      <c r="F93" s="49" t="s">
        <v>39</v>
      </c>
      <c r="G93" s="49" t="s">
        <v>39</v>
      </c>
      <c r="H93" s="48" t="s">
        <v>39</v>
      </c>
    </row>
    <row r="94" spans="1:8" ht="21.75" customHeight="1" x14ac:dyDescent="0.15">
      <c r="A94" s="250" t="s">
        <v>38</v>
      </c>
      <c r="B94" s="61" t="s">
        <v>37</v>
      </c>
      <c r="C94" s="62">
        <v>4032</v>
      </c>
      <c r="D94" s="63">
        <f>QUOTIENT(941370083269885,1000000)</f>
        <v>941370083</v>
      </c>
      <c r="E94" s="63">
        <f>QUOTIENT(334577046575509,1000000)</f>
        <v>334577046</v>
      </c>
      <c r="F94" s="64">
        <f>QUOTIENT(310083844143121,1000000)</f>
        <v>310083844</v>
      </c>
      <c r="G94" s="64">
        <f>QUOTIENT(283998358974830,1000000)</f>
        <v>283998358</v>
      </c>
      <c r="H94" s="65">
        <f>QUOTIENT(12710833576423,1000000)</f>
        <v>12710833</v>
      </c>
    </row>
    <row r="95" spans="1:8" ht="21.75" customHeight="1" x14ac:dyDescent="0.15">
      <c r="A95" s="250"/>
      <c r="B95" s="66" t="s">
        <v>36</v>
      </c>
      <c r="C95" s="67">
        <v>13</v>
      </c>
      <c r="D95" s="68">
        <f>QUOTIENT(33154500,1000000)</f>
        <v>33</v>
      </c>
      <c r="E95" s="68">
        <f>QUOTIENT(33154500,1000000)</f>
        <v>33</v>
      </c>
      <c r="F95" s="69">
        <f>QUOTIENT(0,1000000)</f>
        <v>0</v>
      </c>
      <c r="G95" s="69">
        <f>QUOTIENT(0,1000000)</f>
        <v>0</v>
      </c>
      <c r="H95" s="70">
        <f>QUOTIENT(0,1000000)</f>
        <v>0</v>
      </c>
    </row>
    <row r="96" spans="1:8" ht="21.75" customHeight="1" x14ac:dyDescent="0.15">
      <c r="A96" s="250"/>
      <c r="B96" s="66" t="s">
        <v>35</v>
      </c>
      <c r="C96" s="67">
        <v>128</v>
      </c>
      <c r="D96" s="68">
        <f>QUOTIENT(13156119484,1000000)</f>
        <v>13156</v>
      </c>
      <c r="E96" s="68">
        <f>QUOTIENT(12489669594,1000000)</f>
        <v>12489</v>
      </c>
      <c r="F96" s="69">
        <f>QUOTIENT(161024906,1000000)</f>
        <v>161</v>
      </c>
      <c r="G96" s="69">
        <f>QUOTIENT(346739200,1000000)</f>
        <v>346</v>
      </c>
      <c r="H96" s="70">
        <f>QUOTIENT(158685784,1000000)</f>
        <v>158</v>
      </c>
    </row>
    <row r="97" spans="1:8" ht="21.75" customHeight="1" x14ac:dyDescent="0.15">
      <c r="A97" s="250"/>
      <c r="B97" s="71" t="s">
        <v>34</v>
      </c>
      <c r="C97" s="72">
        <v>1</v>
      </c>
      <c r="D97" s="73">
        <f>QUOTIENT(191219940000,1000000)</f>
        <v>191219</v>
      </c>
      <c r="E97" s="73">
        <f>QUOTIENT(145680390000,1000000)</f>
        <v>145680</v>
      </c>
      <c r="F97" s="74">
        <f>QUOTIENT(8482590000,1000000)</f>
        <v>8482</v>
      </c>
      <c r="G97" s="74">
        <f>QUOTIENT(35580600000,1000000)</f>
        <v>35580</v>
      </c>
      <c r="H97" s="75">
        <f>QUOTIENT(1476360000,1000000)</f>
        <v>1476</v>
      </c>
    </row>
    <row r="98" spans="1:8" ht="21.75" customHeight="1" x14ac:dyDescent="0.15">
      <c r="A98" s="250"/>
      <c r="B98" s="66" t="s">
        <v>33</v>
      </c>
      <c r="C98" s="67">
        <v>63</v>
      </c>
      <c r="D98" s="68">
        <f>QUOTIENT(15497583174900,1000000)</f>
        <v>15497583</v>
      </c>
      <c r="E98" s="68">
        <f>QUOTIENT(3888708115100,1000000)</f>
        <v>3888708</v>
      </c>
      <c r="F98" s="69">
        <f>QUOTIENT(4295239820800,1000000)</f>
        <v>4295239</v>
      </c>
      <c r="G98" s="69">
        <f>QUOTIENT(7150034090800,1000000)</f>
        <v>7150034</v>
      </c>
      <c r="H98" s="70">
        <f>QUOTIENT(163601148200,1000000)</f>
        <v>163601</v>
      </c>
    </row>
    <row r="99" spans="1:8" ht="21.75" customHeight="1" x14ac:dyDescent="0.15">
      <c r="A99" s="250"/>
      <c r="B99" s="76" t="s">
        <v>32</v>
      </c>
      <c r="C99" s="67">
        <v>293</v>
      </c>
      <c r="D99" s="68">
        <f>QUOTIENT(80719895933945,1000000)</f>
        <v>80719895</v>
      </c>
      <c r="E99" s="68">
        <f>QUOTIENT(5799957859991,1000000)</f>
        <v>5799957</v>
      </c>
      <c r="F99" s="69">
        <f>QUOTIENT(2850352605935,1000000)</f>
        <v>2850352</v>
      </c>
      <c r="G99" s="69">
        <f>QUOTIENT(71879424217541,1000000)</f>
        <v>71879424</v>
      </c>
      <c r="H99" s="70">
        <f>QUOTIENT(190161250478,1000000)</f>
        <v>190161</v>
      </c>
    </row>
    <row r="100" spans="1:8" ht="21.75" customHeight="1" x14ac:dyDescent="0.15">
      <c r="A100" s="251"/>
      <c r="B100" s="77" t="s">
        <v>31</v>
      </c>
      <c r="C100" s="72">
        <v>34</v>
      </c>
      <c r="D100" s="73">
        <f>QUOTIENT(550913586923,1000000)</f>
        <v>550913</v>
      </c>
      <c r="E100" s="73">
        <f>QUOTIENT(350645575863,1000000)</f>
        <v>350645</v>
      </c>
      <c r="F100" s="74">
        <f>QUOTIENT(9951390576,1000000)</f>
        <v>9951</v>
      </c>
      <c r="G100" s="74">
        <f>QUOTIENT(175015309140,1000000)</f>
        <v>175015</v>
      </c>
      <c r="H100" s="75">
        <f>QUOTIENT(15301311344,1000000)</f>
        <v>15301</v>
      </c>
    </row>
    <row r="101" spans="1:8" ht="21.75" customHeight="1" x14ac:dyDescent="0.15">
      <c r="A101" s="30" t="s">
        <v>30</v>
      </c>
      <c r="B101" s="78" t="s">
        <v>29</v>
      </c>
      <c r="C101" s="79">
        <v>27</v>
      </c>
      <c r="D101" s="80">
        <f>QUOTIENT(162591169525,1000000)</f>
        <v>162591</v>
      </c>
      <c r="E101" s="80">
        <f>QUOTIENT(145972387250,1000000)</f>
        <v>145972</v>
      </c>
      <c r="F101" s="81">
        <f>QUOTIENT(2238591963,1000000)</f>
        <v>2238</v>
      </c>
      <c r="G101" s="81">
        <f>QUOTIENT(323060000,1000000)</f>
        <v>323</v>
      </c>
      <c r="H101" s="82">
        <f>QUOTIENT(14057130312,1000000)</f>
        <v>14057</v>
      </c>
    </row>
    <row r="102" spans="1:8" ht="21.75" customHeight="1" x14ac:dyDescent="0.15">
      <c r="A102" s="252" t="s">
        <v>28</v>
      </c>
      <c r="B102" s="17" t="s">
        <v>27</v>
      </c>
      <c r="C102" s="16">
        <v>3555</v>
      </c>
      <c r="D102" s="83">
        <f>QUOTIENT(65109800000000,1000000)</f>
        <v>65109800</v>
      </c>
      <c r="E102" s="83">
        <f>QUOTIENT(11052138510000,1000000)</f>
        <v>11052138</v>
      </c>
      <c r="F102" s="84">
        <f>QUOTIENT(28920022440000,1000000)</f>
        <v>28920022</v>
      </c>
      <c r="G102" s="84">
        <f>QUOTIENT(25002595520000,1000000)</f>
        <v>25002595</v>
      </c>
      <c r="H102" s="85">
        <f>QUOTIENT(135043530000,1000000)</f>
        <v>135043</v>
      </c>
    </row>
    <row r="103" spans="1:8" ht="21.75" customHeight="1" x14ac:dyDescent="0.15">
      <c r="A103" s="250"/>
      <c r="B103" s="23" t="s">
        <v>26</v>
      </c>
      <c r="C103" s="22">
        <v>3437</v>
      </c>
      <c r="D103" s="86">
        <f>QUOTIENT(14862130791000,1000000)</f>
        <v>14862130</v>
      </c>
      <c r="E103" s="86">
        <f>QUOTIENT(487940636000,1000000)</f>
        <v>487940</v>
      </c>
      <c r="F103" s="87">
        <f>QUOTIENT(9612652687000,1000000)</f>
        <v>9612652</v>
      </c>
      <c r="G103" s="87">
        <f>QUOTIENT(4723509468000,1000000)</f>
        <v>4723509</v>
      </c>
      <c r="H103" s="88">
        <f>QUOTIENT(38028000000,1000000)</f>
        <v>38028</v>
      </c>
    </row>
    <row r="104" spans="1:8" ht="21.75" customHeight="1" x14ac:dyDescent="0.15">
      <c r="A104" s="250"/>
      <c r="B104" s="24" t="s">
        <v>25</v>
      </c>
      <c r="C104" s="22">
        <v>554</v>
      </c>
      <c r="D104" s="86">
        <f>QUOTIENT(18118900000000,1000000)</f>
        <v>18118900</v>
      </c>
      <c r="E104" s="86">
        <f>QUOTIENT(1409212400000,1000000)</f>
        <v>1409212</v>
      </c>
      <c r="F104" s="87">
        <f>QUOTIENT(6736702400000,1000000)</f>
        <v>6736702</v>
      </c>
      <c r="G104" s="87">
        <f>QUOTIENT(9931240200000,1000000)</f>
        <v>9931240</v>
      </c>
      <c r="H104" s="88">
        <f>QUOTIENT(41745000000,1000000)</f>
        <v>41745</v>
      </c>
    </row>
    <row r="105" spans="1:8" ht="21.75" customHeight="1" x14ac:dyDescent="0.15">
      <c r="A105" s="250"/>
      <c r="B105" s="23" t="s">
        <v>24</v>
      </c>
      <c r="C105" s="22">
        <v>2140</v>
      </c>
      <c r="D105" s="86">
        <f>QUOTIENT(54655100000000,1000000)</f>
        <v>54655100</v>
      </c>
      <c r="E105" s="86">
        <f>QUOTIENT(8164022830000,1000000)</f>
        <v>8164022</v>
      </c>
      <c r="F105" s="87">
        <f>QUOTIENT(19013337170000,1000000)</f>
        <v>19013337</v>
      </c>
      <c r="G105" s="87">
        <f>QUOTIENT(27460090000000,1000000)</f>
        <v>27460090</v>
      </c>
      <c r="H105" s="88">
        <f>QUOTIENT(17650000000,1000000)</f>
        <v>17650</v>
      </c>
    </row>
    <row r="106" spans="1:8" ht="21.75" customHeight="1" x14ac:dyDescent="0.15">
      <c r="A106" s="250"/>
      <c r="B106" s="23" t="s">
        <v>23</v>
      </c>
      <c r="C106" s="22">
        <v>535</v>
      </c>
      <c r="D106" s="86">
        <f>QUOTIENT(5280931000000,1000000)</f>
        <v>5280931</v>
      </c>
      <c r="E106" s="86">
        <f>QUOTIENT(286372600000,1000000)</f>
        <v>286372</v>
      </c>
      <c r="F106" s="87">
        <f>QUOTIENT(76755000000,1000000)</f>
        <v>76755</v>
      </c>
      <c r="G106" s="87">
        <f>QUOTIENT(4917803400000,1000000)</f>
        <v>4917803</v>
      </c>
      <c r="H106" s="88">
        <f>QUOTIENT(0,1000000)</f>
        <v>0</v>
      </c>
    </row>
    <row r="107" spans="1:8" ht="21.75" customHeight="1" x14ac:dyDescent="0.15">
      <c r="A107" s="250"/>
      <c r="B107" s="23" t="s">
        <v>22</v>
      </c>
      <c r="C107" s="22">
        <v>181</v>
      </c>
      <c r="D107" s="86">
        <f>QUOTIENT(1324000000000,1000000)</f>
        <v>1324000</v>
      </c>
      <c r="E107" s="86">
        <f>QUOTIENT(344520000000,1000000)</f>
        <v>344520</v>
      </c>
      <c r="F107" s="87">
        <f>QUOTIENT(467550000000,1000000)</f>
        <v>467550</v>
      </c>
      <c r="G107" s="87">
        <f>QUOTIENT(506730000000,1000000)</f>
        <v>506730</v>
      </c>
      <c r="H107" s="88">
        <f>QUOTIENT(5200000000,1000000)</f>
        <v>5200</v>
      </c>
    </row>
    <row r="108" spans="1:8" ht="21.75" customHeight="1" x14ac:dyDescent="0.15">
      <c r="A108" s="250"/>
      <c r="B108" s="23" t="s">
        <v>21</v>
      </c>
      <c r="C108" s="22">
        <v>19</v>
      </c>
      <c r="D108" s="86">
        <f>QUOTIENT(121410000000,1000000)</f>
        <v>121410</v>
      </c>
      <c r="E108" s="86">
        <f>QUOTIENT(108903000000,1000000)</f>
        <v>108903</v>
      </c>
      <c r="F108" s="87">
        <f>QUOTIENT(6220000000,1000000)</f>
        <v>6220</v>
      </c>
      <c r="G108" s="87">
        <f>QUOTIENT(6287000000,1000000)</f>
        <v>6287</v>
      </c>
      <c r="H108" s="88">
        <f>QUOTIENT(0,1000000)</f>
        <v>0</v>
      </c>
    </row>
    <row r="109" spans="1:8" ht="21.75" customHeight="1" x14ac:dyDescent="0.15">
      <c r="A109" s="250"/>
      <c r="B109" s="23" t="s">
        <v>20</v>
      </c>
      <c r="C109" s="22">
        <v>0</v>
      </c>
      <c r="D109" s="86">
        <f>QUOTIENT(0,1000000)</f>
        <v>0</v>
      </c>
      <c r="E109" s="86">
        <f>QUOTIENT(0,1000000)</f>
        <v>0</v>
      </c>
      <c r="F109" s="87">
        <f>QUOTIENT(0,1000000)</f>
        <v>0</v>
      </c>
      <c r="G109" s="87">
        <f>QUOTIENT(0,1000000)</f>
        <v>0</v>
      </c>
      <c r="H109" s="88">
        <f>QUOTIENT(0,1000000)</f>
        <v>0</v>
      </c>
    </row>
    <row r="110" spans="1:8" ht="21.75" customHeight="1" x14ac:dyDescent="0.15">
      <c r="A110" s="250"/>
      <c r="B110" s="23" t="s">
        <v>19</v>
      </c>
      <c r="C110" s="22">
        <v>198</v>
      </c>
      <c r="D110" s="86">
        <f>QUOTIENT(4656100000000,1000000)</f>
        <v>4656100</v>
      </c>
      <c r="E110" s="86">
        <f>QUOTIENT(423570000000,1000000)</f>
        <v>423570</v>
      </c>
      <c r="F110" s="87">
        <f>QUOTIENT(2300040000000,1000000)</f>
        <v>2300040</v>
      </c>
      <c r="G110" s="87">
        <f>QUOTIENT(1881380000000,1000000)</f>
        <v>1881380</v>
      </c>
      <c r="H110" s="88">
        <f>QUOTIENT(51110000000,1000000)</f>
        <v>51110</v>
      </c>
    </row>
    <row r="111" spans="1:8" ht="21.75" customHeight="1" x14ac:dyDescent="0.15">
      <c r="A111" s="250"/>
      <c r="B111" s="23" t="s">
        <v>18</v>
      </c>
      <c r="C111" s="22">
        <v>4171</v>
      </c>
      <c r="D111" s="86">
        <f>QUOTIENT(90639797000000,1000000)</f>
        <v>90639797</v>
      </c>
      <c r="E111" s="86">
        <f>QUOTIENT(24146348600000,1000000)</f>
        <v>24146348</v>
      </c>
      <c r="F111" s="87">
        <f>QUOTIENT(29173784400000,1000000)</f>
        <v>29173784</v>
      </c>
      <c r="G111" s="87">
        <f>QUOTIENT(36654293800000,1000000)</f>
        <v>36654293</v>
      </c>
      <c r="H111" s="88">
        <f>QUOTIENT(665370200000,1000000)</f>
        <v>665370</v>
      </c>
    </row>
    <row r="112" spans="1:8" ht="21.75" customHeight="1" x14ac:dyDescent="0.15">
      <c r="A112" s="250"/>
      <c r="B112" s="23" t="s">
        <v>17</v>
      </c>
      <c r="C112" s="22">
        <v>811</v>
      </c>
      <c r="D112" s="86">
        <f>QUOTIENT(18546860000000,1000000)</f>
        <v>18546860</v>
      </c>
      <c r="E112" s="86">
        <f>QUOTIENT(5036153400000,1000000)</f>
        <v>5036153</v>
      </c>
      <c r="F112" s="87">
        <f>QUOTIENT(5947061900000,1000000)</f>
        <v>5947061</v>
      </c>
      <c r="G112" s="87">
        <f>QUOTIENT(7475744700000,1000000)</f>
        <v>7475744</v>
      </c>
      <c r="H112" s="88">
        <f>QUOTIENT(87900000000,1000000)</f>
        <v>87900</v>
      </c>
    </row>
    <row r="113" spans="1:8" ht="21.75" customHeight="1" x14ac:dyDescent="0.15">
      <c r="A113" s="250"/>
      <c r="B113" s="23" t="s">
        <v>16</v>
      </c>
      <c r="C113" s="22">
        <v>61862</v>
      </c>
      <c r="D113" s="86">
        <f>QUOTIENT(14823751112000,1000000)</f>
        <v>14823751</v>
      </c>
      <c r="E113" s="86">
        <f>QUOTIENT(3918249888000,1000000)</f>
        <v>3918249</v>
      </c>
      <c r="F113" s="87">
        <f>QUOTIENT(4560139764000,1000000)</f>
        <v>4560139</v>
      </c>
      <c r="G113" s="87">
        <f>QUOTIENT(6317500760000,1000000)</f>
        <v>6317500</v>
      </c>
      <c r="H113" s="88">
        <f>QUOTIENT(27860700000,1000000)</f>
        <v>27860</v>
      </c>
    </row>
    <row r="114" spans="1:8" ht="21.75" customHeight="1" x14ac:dyDescent="0.15">
      <c r="A114" s="250"/>
      <c r="B114" s="23" t="s">
        <v>15</v>
      </c>
      <c r="C114" s="22">
        <v>418</v>
      </c>
      <c r="D114" s="86">
        <f>QUOTIENT(3461045812000,1000000)</f>
        <v>3461045</v>
      </c>
      <c r="E114" s="86">
        <f>QUOTIENT(2915526288000,1000000)</f>
        <v>2915526</v>
      </c>
      <c r="F114" s="87">
        <f>QUOTIENT(463080784000,1000000)</f>
        <v>463080</v>
      </c>
      <c r="G114" s="87">
        <f>QUOTIENT(82193740000,1000000)</f>
        <v>82193</v>
      </c>
      <c r="H114" s="88">
        <f>QUOTIENT(245000000,1000000)</f>
        <v>245</v>
      </c>
    </row>
    <row r="115" spans="1:8" ht="21.75" customHeight="1" x14ac:dyDescent="0.15">
      <c r="A115" s="250"/>
      <c r="B115" s="23" t="s">
        <v>14</v>
      </c>
      <c r="C115" s="22">
        <v>30</v>
      </c>
      <c r="D115" s="86">
        <f>QUOTIENT(82200000000,1000000)</f>
        <v>82200</v>
      </c>
      <c r="E115" s="86">
        <f>QUOTIENT(15300000000,1000000)</f>
        <v>15300</v>
      </c>
      <c r="F115" s="87">
        <f>QUOTIENT(48800000000,1000000)</f>
        <v>48800</v>
      </c>
      <c r="G115" s="87">
        <f>QUOTIENT(18000000000,1000000)</f>
        <v>18000</v>
      </c>
      <c r="H115" s="88">
        <f>QUOTIENT(100000000,1000000)</f>
        <v>100</v>
      </c>
    </row>
    <row r="116" spans="1:8" ht="21.75" customHeight="1" x14ac:dyDescent="0.15">
      <c r="A116" s="250"/>
      <c r="B116" s="23" t="s">
        <v>13</v>
      </c>
      <c r="C116" s="22">
        <v>862</v>
      </c>
      <c r="D116" s="86">
        <f>QUOTIENT(2995500459000,1000000)</f>
        <v>2995500</v>
      </c>
      <c r="E116" s="86">
        <f>QUOTIENT(103298340000,1000000)</f>
        <v>103298</v>
      </c>
      <c r="F116" s="87">
        <f>QUOTIENT(1685621229000,1000000)</f>
        <v>1685621</v>
      </c>
      <c r="G116" s="87">
        <f>QUOTIENT(1206480890000,1000000)</f>
        <v>1206480</v>
      </c>
      <c r="H116" s="88">
        <f>QUOTIENT(100000000,1000000)</f>
        <v>100</v>
      </c>
    </row>
    <row r="117" spans="1:8" ht="21.75" customHeight="1" x14ac:dyDescent="0.15">
      <c r="A117" s="250"/>
      <c r="B117" s="23" t="s">
        <v>12</v>
      </c>
      <c r="C117" s="22">
        <v>304</v>
      </c>
      <c r="D117" s="86">
        <f>QUOTIENT(6627700000000,1000000)</f>
        <v>6627700</v>
      </c>
      <c r="E117" s="86">
        <f>QUOTIENT(1136886000000,1000000)</f>
        <v>1136886</v>
      </c>
      <c r="F117" s="87">
        <f>QUOTIENT(2045642000000,1000000)</f>
        <v>2045642</v>
      </c>
      <c r="G117" s="87">
        <f>QUOTIENT(3424562000000,1000000)</f>
        <v>3424562</v>
      </c>
      <c r="H117" s="88">
        <f>QUOTIENT(20610000000,1000000)</f>
        <v>20610</v>
      </c>
    </row>
    <row r="118" spans="1:8" ht="21.75" customHeight="1" x14ac:dyDescent="0.15">
      <c r="A118" s="250"/>
      <c r="B118" s="23" t="s">
        <v>11</v>
      </c>
      <c r="C118" s="22">
        <v>67</v>
      </c>
      <c r="D118" s="86">
        <f>QUOTIENT(1195150000000,1000000)</f>
        <v>1195150</v>
      </c>
      <c r="E118" s="86">
        <f>QUOTIENT(123100000000,1000000)</f>
        <v>123100</v>
      </c>
      <c r="F118" s="87">
        <f>QUOTIENT(504650000000,1000000)</f>
        <v>504650</v>
      </c>
      <c r="G118" s="87">
        <f>QUOTIENT(567400000000,1000000)</f>
        <v>567400</v>
      </c>
      <c r="H118" s="88">
        <f>QUOTIENT(0,1000000)</f>
        <v>0</v>
      </c>
    </row>
    <row r="119" spans="1:8" ht="21.75" customHeight="1" x14ac:dyDescent="0.15">
      <c r="A119" s="250"/>
      <c r="B119" s="23" t="s">
        <v>10</v>
      </c>
      <c r="C119" s="22">
        <v>0</v>
      </c>
      <c r="D119" s="86">
        <f t="shared" ref="D119:G121" si="3">QUOTIENT(0,1000000)</f>
        <v>0</v>
      </c>
      <c r="E119" s="86">
        <f t="shared" si="3"/>
        <v>0</v>
      </c>
      <c r="F119" s="87">
        <f t="shared" si="3"/>
        <v>0</v>
      </c>
      <c r="G119" s="87">
        <f t="shared" si="3"/>
        <v>0</v>
      </c>
      <c r="H119" s="88">
        <f>QUOTIENT(0,1000000)</f>
        <v>0</v>
      </c>
    </row>
    <row r="120" spans="1:8" ht="21.75" customHeight="1" x14ac:dyDescent="0.15">
      <c r="A120" s="250"/>
      <c r="B120" s="23" t="s">
        <v>9</v>
      </c>
      <c r="C120" s="22">
        <v>0</v>
      </c>
      <c r="D120" s="86">
        <f t="shared" si="3"/>
        <v>0</v>
      </c>
      <c r="E120" s="86">
        <f t="shared" si="3"/>
        <v>0</v>
      </c>
      <c r="F120" s="87">
        <f t="shared" si="3"/>
        <v>0</v>
      </c>
      <c r="G120" s="87">
        <f t="shared" si="3"/>
        <v>0</v>
      </c>
      <c r="H120" s="88">
        <f>QUOTIENT(0,1000000)</f>
        <v>0</v>
      </c>
    </row>
    <row r="121" spans="1:8" ht="21.75" customHeight="1" x14ac:dyDescent="0.15">
      <c r="A121" s="250"/>
      <c r="B121" s="23" t="s">
        <v>8</v>
      </c>
      <c r="C121" s="22">
        <v>0</v>
      </c>
      <c r="D121" s="86">
        <f t="shared" si="3"/>
        <v>0</v>
      </c>
      <c r="E121" s="86">
        <f t="shared" si="3"/>
        <v>0</v>
      </c>
      <c r="F121" s="87">
        <f t="shared" si="3"/>
        <v>0</v>
      </c>
      <c r="G121" s="87">
        <f t="shared" si="3"/>
        <v>0</v>
      </c>
      <c r="H121" s="88">
        <f>QUOTIENT(0,1000000)</f>
        <v>0</v>
      </c>
    </row>
    <row r="122" spans="1:8" ht="21.75" customHeight="1" x14ac:dyDescent="0.15">
      <c r="A122" s="251"/>
      <c r="B122" s="23" t="s">
        <v>7</v>
      </c>
      <c r="C122" s="22">
        <v>111</v>
      </c>
      <c r="D122" s="86">
        <f>QUOTIENT(8730000000,1000000)</f>
        <v>8730</v>
      </c>
      <c r="E122" s="86">
        <f>QUOTIENT(0,1000000)</f>
        <v>0</v>
      </c>
      <c r="F122" s="87">
        <f>QUOTIENT(0,1000000)</f>
        <v>0</v>
      </c>
      <c r="G122" s="87">
        <f>QUOTIENT(8730000000,1000000)</f>
        <v>8730</v>
      </c>
      <c r="H122" s="88">
        <f>QUOTIENT(0,1000000)</f>
        <v>0</v>
      </c>
    </row>
    <row r="123" spans="1:8" ht="21.75" customHeight="1" x14ac:dyDescent="0.15">
      <c r="A123" s="18" t="s">
        <v>6</v>
      </c>
      <c r="B123" s="17" t="s">
        <v>5</v>
      </c>
      <c r="C123" s="16">
        <v>3197</v>
      </c>
      <c r="D123" s="80">
        <v>26932273</v>
      </c>
      <c r="E123" s="80">
        <v>916100</v>
      </c>
      <c r="F123" s="81">
        <v>12741691</v>
      </c>
      <c r="G123" s="81">
        <v>10696611</v>
      </c>
      <c r="H123" s="82">
        <v>2577871</v>
      </c>
    </row>
    <row r="124" spans="1:8" ht="21.75" customHeight="1" x14ac:dyDescent="0.15">
      <c r="A124" s="252" t="s">
        <v>4</v>
      </c>
      <c r="B124" s="12" t="s">
        <v>3</v>
      </c>
      <c r="C124" s="11">
        <v>5631</v>
      </c>
      <c r="D124" s="89">
        <f>QUOTIENT(127990524583119,1000000)</f>
        <v>127990524</v>
      </c>
      <c r="E124" s="89">
        <f>QUOTIENT(82578395945737,1000000)</f>
        <v>82578395</v>
      </c>
      <c r="F124" s="90">
        <f>QUOTIENT(20975707888112,1000000)</f>
        <v>20975707</v>
      </c>
      <c r="G124" s="90">
        <f>QUOTIENT(14344513283461,1000000)</f>
        <v>14344513</v>
      </c>
      <c r="H124" s="91">
        <f>QUOTIENT(10091907465809,1000000)</f>
        <v>10091907</v>
      </c>
    </row>
    <row r="125" spans="1:8" ht="21.75" customHeight="1" thickBot="1" x14ac:dyDescent="0.2">
      <c r="A125" s="253"/>
      <c r="B125" s="7" t="s">
        <v>1153</v>
      </c>
      <c r="C125" s="6">
        <v>8394</v>
      </c>
      <c r="D125" s="92" t="s">
        <v>2178</v>
      </c>
      <c r="E125" s="92" t="s">
        <v>2178</v>
      </c>
      <c r="F125" s="92" t="s">
        <v>2178</v>
      </c>
      <c r="G125" s="92" t="s">
        <v>2178</v>
      </c>
      <c r="H125" s="93" t="s">
        <v>2178</v>
      </c>
    </row>
    <row r="126" spans="1:8" ht="18" customHeight="1" x14ac:dyDescent="0.15">
      <c r="A126" s="3" t="s">
        <v>1155</v>
      </c>
      <c r="B126" s="2"/>
      <c r="C126" s="2"/>
      <c r="D126" s="2"/>
      <c r="E126" s="2"/>
      <c r="F126" s="2"/>
      <c r="G126" s="2"/>
      <c r="H126" s="2"/>
    </row>
    <row r="127" spans="1:8" ht="18" customHeight="1" x14ac:dyDescent="0.15">
      <c r="A127" s="3" t="s">
        <v>2591</v>
      </c>
      <c r="B127" s="2"/>
      <c r="C127" s="2"/>
      <c r="D127" s="2"/>
      <c r="E127" s="2"/>
      <c r="F127" s="2"/>
      <c r="G127" s="2"/>
      <c r="H127" s="2"/>
    </row>
    <row r="128" spans="1:8" ht="18" customHeight="1" x14ac:dyDescent="0.15">
      <c r="A128" s="3" t="s">
        <v>1156</v>
      </c>
      <c r="B128" s="2"/>
      <c r="C128" s="2"/>
      <c r="D128" s="2"/>
      <c r="E128" s="2"/>
      <c r="F128" s="2"/>
      <c r="G128" s="2"/>
      <c r="H128" s="2"/>
    </row>
    <row r="129" spans="1:8" ht="18" customHeight="1" x14ac:dyDescent="0.15">
      <c r="A129" s="3" t="s">
        <v>2598</v>
      </c>
      <c r="B129" s="2"/>
      <c r="C129" s="2"/>
      <c r="D129" s="2"/>
      <c r="E129" s="2"/>
      <c r="F129" s="2"/>
      <c r="G129" s="2"/>
      <c r="H129" s="2"/>
    </row>
    <row r="130" spans="1:8" ht="24" x14ac:dyDescent="0.15">
      <c r="A130" s="230" t="s">
        <v>2595</v>
      </c>
      <c r="B130" s="230"/>
      <c r="C130" s="230"/>
      <c r="D130" s="230"/>
      <c r="E130" s="230"/>
      <c r="F130" s="230"/>
      <c r="G130" s="230"/>
      <c r="H130" s="230"/>
    </row>
    <row r="131" spans="1:8" ht="18" customHeight="1" x14ac:dyDescent="0.15">
      <c r="A131" s="231"/>
      <c r="B131" s="231"/>
      <c r="C131" s="231"/>
      <c r="D131" s="231"/>
      <c r="E131" s="231"/>
      <c r="F131" s="231"/>
      <c r="G131" s="231"/>
      <c r="H131" s="231"/>
    </row>
    <row r="132" spans="1:8" thickBot="1" x14ac:dyDescent="0.2">
      <c r="A132" s="58" t="s">
        <v>48</v>
      </c>
    </row>
    <row r="133" spans="1:8" ht="18" customHeight="1" x14ac:dyDescent="0.15">
      <c r="A133" s="232" t="s">
        <v>47</v>
      </c>
      <c r="B133" s="235" t="s">
        <v>46</v>
      </c>
      <c r="C133" s="238" t="s">
        <v>45</v>
      </c>
      <c r="D133" s="241" t="s">
        <v>44</v>
      </c>
      <c r="E133" s="204"/>
      <c r="F133" s="56"/>
      <c r="G133" s="56"/>
      <c r="H133" s="55"/>
    </row>
    <row r="134" spans="1:8" ht="18" customHeight="1" x14ac:dyDescent="0.15">
      <c r="A134" s="233"/>
      <c r="B134" s="236"/>
      <c r="C134" s="239"/>
      <c r="D134" s="242"/>
      <c r="E134" s="244" t="s">
        <v>43</v>
      </c>
      <c r="F134" s="246" t="s">
        <v>42</v>
      </c>
      <c r="G134" s="246" t="s">
        <v>41</v>
      </c>
      <c r="H134" s="248" t="s">
        <v>40</v>
      </c>
    </row>
    <row r="135" spans="1:8" ht="18" customHeight="1" thickBot="1" x14ac:dyDescent="0.2">
      <c r="A135" s="234"/>
      <c r="B135" s="237"/>
      <c r="C135" s="240"/>
      <c r="D135" s="243"/>
      <c r="E135" s="245"/>
      <c r="F135" s="247"/>
      <c r="G135" s="247"/>
      <c r="H135" s="249"/>
    </row>
    <row r="136" spans="1:8" s="60" customFormat="1" ht="18" customHeight="1" thickTop="1" x14ac:dyDescent="0.15">
      <c r="A136" s="205"/>
      <c r="B136" s="206"/>
      <c r="C136" s="52"/>
      <c r="D136" s="51" t="s">
        <v>39</v>
      </c>
      <c r="E136" s="50" t="s">
        <v>39</v>
      </c>
      <c r="F136" s="49" t="s">
        <v>39</v>
      </c>
      <c r="G136" s="49" t="s">
        <v>39</v>
      </c>
      <c r="H136" s="48" t="s">
        <v>39</v>
      </c>
    </row>
    <row r="137" spans="1:8" ht="21.75" customHeight="1" x14ac:dyDescent="0.15">
      <c r="A137" s="250" t="s">
        <v>38</v>
      </c>
      <c r="B137" s="61" t="s">
        <v>37</v>
      </c>
      <c r="C137" s="62">
        <v>4034</v>
      </c>
      <c r="D137" s="63">
        <f>QUOTIENT(862040369421294,1000000)</f>
        <v>862040369</v>
      </c>
      <c r="E137" s="63">
        <f>QUOTIENT(310005125205314,1000000)</f>
        <v>310005125</v>
      </c>
      <c r="F137" s="64">
        <f>QUOTIENT(280736920282679,1000000)</f>
        <v>280736920</v>
      </c>
      <c r="G137" s="64">
        <f>QUOTIENT(259506555407425,1000000)</f>
        <v>259506555</v>
      </c>
      <c r="H137" s="65">
        <f>QUOTIENT(11791768525874,1000000)</f>
        <v>11791768</v>
      </c>
    </row>
    <row r="138" spans="1:8" ht="21.75" customHeight="1" x14ac:dyDescent="0.15">
      <c r="A138" s="250"/>
      <c r="B138" s="66" t="s">
        <v>36</v>
      </c>
      <c r="C138" s="67">
        <v>13</v>
      </c>
      <c r="D138" s="68">
        <f>QUOTIENT(34596000,1000000)</f>
        <v>34</v>
      </c>
      <c r="E138" s="68">
        <f>QUOTIENT(34596000,1000000)</f>
        <v>34</v>
      </c>
      <c r="F138" s="69">
        <f t="shared" ref="F138:H139" si="4">QUOTIENT(0,1000000)</f>
        <v>0</v>
      </c>
      <c r="G138" s="69">
        <f t="shared" si="4"/>
        <v>0</v>
      </c>
      <c r="H138" s="70">
        <f t="shared" si="4"/>
        <v>0</v>
      </c>
    </row>
    <row r="139" spans="1:8" ht="21.75" customHeight="1" x14ac:dyDescent="0.15">
      <c r="A139" s="250"/>
      <c r="B139" s="66" t="s">
        <v>35</v>
      </c>
      <c r="C139" s="67">
        <v>126</v>
      </c>
      <c r="D139" s="68">
        <f>QUOTIENT(0,1000000)</f>
        <v>0</v>
      </c>
      <c r="E139" s="68">
        <f>QUOTIENT(0,1000000)</f>
        <v>0</v>
      </c>
      <c r="F139" s="69">
        <f t="shared" si="4"/>
        <v>0</v>
      </c>
      <c r="G139" s="69">
        <f t="shared" si="4"/>
        <v>0</v>
      </c>
      <c r="H139" s="70">
        <f t="shared" si="4"/>
        <v>0</v>
      </c>
    </row>
    <row r="140" spans="1:8" ht="21.75" customHeight="1" x14ac:dyDescent="0.15">
      <c r="A140" s="250"/>
      <c r="B140" s="71" t="s">
        <v>34</v>
      </c>
      <c r="C140" s="72">
        <v>1</v>
      </c>
      <c r="D140" s="73">
        <f>QUOTIENT(190865829000,1000000)</f>
        <v>190865</v>
      </c>
      <c r="E140" s="73">
        <f>QUOTIENT(145150813500,1000000)</f>
        <v>145150</v>
      </c>
      <c r="F140" s="74">
        <f>QUOTIENT(8569291500,1000000)</f>
        <v>8569</v>
      </c>
      <c r="G140" s="74">
        <f>QUOTIENT(35659701000,1000000)</f>
        <v>35659</v>
      </c>
      <c r="H140" s="75">
        <f>QUOTIENT(1486023000,1000000)</f>
        <v>1486</v>
      </c>
    </row>
    <row r="141" spans="1:8" ht="21.75" customHeight="1" x14ac:dyDescent="0.15">
      <c r="A141" s="250"/>
      <c r="B141" s="66" t="s">
        <v>33</v>
      </c>
      <c r="C141" s="67">
        <v>63</v>
      </c>
      <c r="D141" s="68">
        <f>QUOTIENT(15570010015700,1000000)</f>
        <v>15570010</v>
      </c>
      <c r="E141" s="68">
        <f>QUOTIENT(3838496952900,1000000)</f>
        <v>3838496</v>
      </c>
      <c r="F141" s="69">
        <f>QUOTIENT(4373827653850,1000000)</f>
        <v>4373827</v>
      </c>
      <c r="G141" s="69">
        <f>QUOTIENT(7207379251750,1000000)</f>
        <v>7207379</v>
      </c>
      <c r="H141" s="70">
        <f>QUOTIENT(150306157200,1000000)</f>
        <v>150306</v>
      </c>
    </row>
    <row r="142" spans="1:8" ht="21.75" customHeight="1" x14ac:dyDescent="0.15">
      <c r="A142" s="250"/>
      <c r="B142" s="76" t="s">
        <v>32</v>
      </c>
      <c r="C142" s="67">
        <v>284</v>
      </c>
      <c r="D142" s="68">
        <f>QUOTIENT(74916365341932,1000000)</f>
        <v>74916365</v>
      </c>
      <c r="E142" s="68">
        <f>QUOTIENT(5596434377257,1000000)</f>
        <v>5596434</v>
      </c>
      <c r="F142" s="69">
        <f>QUOTIENT(2558468546430,1000000)</f>
        <v>2558468</v>
      </c>
      <c r="G142" s="69">
        <f>QUOTIENT(66588352994569,1000000)</f>
        <v>66588352</v>
      </c>
      <c r="H142" s="70">
        <f>QUOTIENT(173109423675,1000000)</f>
        <v>173109</v>
      </c>
    </row>
    <row r="143" spans="1:8" ht="21.75" customHeight="1" x14ac:dyDescent="0.15">
      <c r="A143" s="251"/>
      <c r="B143" s="77" t="s">
        <v>31</v>
      </c>
      <c r="C143" s="72">
        <v>34</v>
      </c>
      <c r="D143" s="73">
        <f>QUOTIENT(522489728331,1000000)</f>
        <v>522489</v>
      </c>
      <c r="E143" s="73">
        <f>QUOTIENT(331848631036,1000000)</f>
        <v>331848</v>
      </c>
      <c r="F143" s="74">
        <f>QUOTIENT(7321160010,1000000)</f>
        <v>7321</v>
      </c>
      <c r="G143" s="74">
        <f>QUOTIENT(168520232097,1000000)</f>
        <v>168520</v>
      </c>
      <c r="H143" s="75">
        <f>QUOTIENT(14799705188,1000000)</f>
        <v>14799</v>
      </c>
    </row>
    <row r="144" spans="1:8" ht="21.75" customHeight="1" x14ac:dyDescent="0.15">
      <c r="A144" s="30" t="s">
        <v>30</v>
      </c>
      <c r="B144" s="78" t="s">
        <v>29</v>
      </c>
      <c r="C144" s="79">
        <v>27</v>
      </c>
      <c r="D144" s="80">
        <f>QUOTIENT(157329252671,1000000)</f>
        <v>157329</v>
      </c>
      <c r="E144" s="80">
        <f>QUOTIENT(139215816835,1000000)</f>
        <v>139215</v>
      </c>
      <c r="F144" s="81">
        <f>QUOTIENT(4365531342,1000000)</f>
        <v>4365</v>
      </c>
      <c r="G144" s="81">
        <f>QUOTIENT(315346000,1000000)</f>
        <v>315</v>
      </c>
      <c r="H144" s="82">
        <f>QUOTIENT(13432558494,1000000)</f>
        <v>13432</v>
      </c>
    </row>
    <row r="145" spans="1:8" ht="21.75" customHeight="1" x14ac:dyDescent="0.15">
      <c r="A145" s="252" t="s">
        <v>28</v>
      </c>
      <c r="B145" s="17" t="s">
        <v>27</v>
      </c>
      <c r="C145" s="16">
        <v>3556</v>
      </c>
      <c r="D145" s="83">
        <f>QUOTIENT(65222700000000,1000000)</f>
        <v>65222700</v>
      </c>
      <c r="E145" s="83">
        <f>QUOTIENT(11172726100000,1000000)</f>
        <v>11172726</v>
      </c>
      <c r="F145" s="84">
        <f>QUOTIENT(29042855620000,1000000)</f>
        <v>29042855</v>
      </c>
      <c r="G145" s="84">
        <f>QUOTIENT(24872624750000,1000000)</f>
        <v>24872624</v>
      </c>
      <c r="H145" s="85">
        <f>QUOTIENT(134493530000,1000000)</f>
        <v>134493</v>
      </c>
    </row>
    <row r="146" spans="1:8" ht="21.75" customHeight="1" x14ac:dyDescent="0.15">
      <c r="A146" s="250"/>
      <c r="B146" s="23" t="s">
        <v>26</v>
      </c>
      <c r="C146" s="22">
        <v>3442</v>
      </c>
      <c r="D146" s="86">
        <f>QUOTIENT(14884411291000,1000000)</f>
        <v>14884411</v>
      </c>
      <c r="E146" s="86">
        <f>QUOTIENT(508218636000,1000000)</f>
        <v>508218</v>
      </c>
      <c r="F146" s="87">
        <f>QUOTIENT(9700706597000,1000000)</f>
        <v>9700706</v>
      </c>
      <c r="G146" s="87">
        <f>QUOTIENT(4637458058000,1000000)</f>
        <v>4637458</v>
      </c>
      <c r="H146" s="88">
        <f>QUOTIENT(38028000000,1000000)</f>
        <v>38028</v>
      </c>
    </row>
    <row r="147" spans="1:8" ht="21.75" customHeight="1" x14ac:dyDescent="0.15">
      <c r="A147" s="250"/>
      <c r="B147" s="24" t="s">
        <v>25</v>
      </c>
      <c r="C147" s="22">
        <v>554</v>
      </c>
      <c r="D147" s="86">
        <f>QUOTIENT(18398900000000,1000000)</f>
        <v>18398900</v>
      </c>
      <c r="E147" s="86">
        <f>QUOTIENT(1491051800000,1000000)</f>
        <v>1491051</v>
      </c>
      <c r="F147" s="87">
        <f>QUOTIENT(6953424500000,1000000)</f>
        <v>6953424</v>
      </c>
      <c r="G147" s="87">
        <f>QUOTIENT(9915278700000,1000000)</f>
        <v>9915278</v>
      </c>
      <c r="H147" s="88">
        <f>QUOTIENT(39145000000,1000000)</f>
        <v>39145</v>
      </c>
    </row>
    <row r="148" spans="1:8" ht="21.75" customHeight="1" x14ac:dyDescent="0.15">
      <c r="A148" s="250"/>
      <c r="B148" s="23" t="s">
        <v>24</v>
      </c>
      <c r="C148" s="22">
        <v>2134</v>
      </c>
      <c r="D148" s="86">
        <f>QUOTIENT(54478500000000,1000000)</f>
        <v>54478500</v>
      </c>
      <c r="E148" s="86">
        <f>QUOTIENT(8117314680000,1000000)</f>
        <v>8117314</v>
      </c>
      <c r="F148" s="87">
        <f>QUOTIENT(19027575320000,1000000)</f>
        <v>19027575</v>
      </c>
      <c r="G148" s="87">
        <f>QUOTIENT(27322960000000,1000000)</f>
        <v>27322960</v>
      </c>
      <c r="H148" s="88">
        <f>QUOTIENT(10650000000,1000000)</f>
        <v>10650</v>
      </c>
    </row>
    <row r="149" spans="1:8" ht="21.75" customHeight="1" x14ac:dyDescent="0.15">
      <c r="A149" s="250"/>
      <c r="B149" s="23" t="s">
        <v>23</v>
      </c>
      <c r="C149" s="22">
        <v>532</v>
      </c>
      <c r="D149" s="86">
        <f>QUOTIENT(5252431000000,1000000)</f>
        <v>5252431</v>
      </c>
      <c r="E149" s="86">
        <f>QUOTIENT(290872600000,1000000)</f>
        <v>290872</v>
      </c>
      <c r="F149" s="87">
        <f>QUOTIENT(76755000000,1000000)</f>
        <v>76755</v>
      </c>
      <c r="G149" s="87">
        <f>QUOTIENT(4884803400000,1000000)</f>
        <v>4884803</v>
      </c>
      <c r="H149" s="88">
        <f>QUOTIENT(0,1000000)</f>
        <v>0</v>
      </c>
    </row>
    <row r="150" spans="1:8" ht="21.75" customHeight="1" x14ac:dyDescent="0.15">
      <c r="A150" s="250"/>
      <c r="B150" s="23" t="s">
        <v>22</v>
      </c>
      <c r="C150" s="22">
        <v>181</v>
      </c>
      <c r="D150" s="86">
        <f>QUOTIENT(1324000000000,1000000)</f>
        <v>1324000</v>
      </c>
      <c r="E150" s="86">
        <f>QUOTIENT(346720000000,1000000)</f>
        <v>346720</v>
      </c>
      <c r="F150" s="87">
        <f>QUOTIENT(466750000000,1000000)</f>
        <v>466750</v>
      </c>
      <c r="G150" s="87">
        <f>QUOTIENT(510530000000,1000000)</f>
        <v>510530</v>
      </c>
      <c r="H150" s="88">
        <f>QUOTIENT(0,1000000)</f>
        <v>0</v>
      </c>
    </row>
    <row r="151" spans="1:8" ht="21.75" customHeight="1" x14ac:dyDescent="0.15">
      <c r="A151" s="250"/>
      <c r="B151" s="23" t="s">
        <v>21</v>
      </c>
      <c r="C151" s="22">
        <v>19</v>
      </c>
      <c r="D151" s="86">
        <f>QUOTIENT(121410000000,1000000)</f>
        <v>121410</v>
      </c>
      <c r="E151" s="86">
        <f>QUOTIENT(108903000000,1000000)</f>
        <v>108903</v>
      </c>
      <c r="F151" s="87">
        <f>QUOTIENT(6220000000,1000000)</f>
        <v>6220</v>
      </c>
      <c r="G151" s="87">
        <f>QUOTIENT(6287000000,1000000)</f>
        <v>6287</v>
      </c>
      <c r="H151" s="88">
        <f>QUOTIENT(0,1000000)</f>
        <v>0</v>
      </c>
    </row>
    <row r="152" spans="1:8" ht="21.75" customHeight="1" x14ac:dyDescent="0.15">
      <c r="A152" s="250"/>
      <c r="B152" s="23" t="s">
        <v>20</v>
      </c>
      <c r="C152" s="22">
        <v>0</v>
      </c>
      <c r="D152" s="86">
        <f>QUOTIENT(0,1000000)</f>
        <v>0</v>
      </c>
      <c r="E152" s="86">
        <f>QUOTIENT(0,1000000)</f>
        <v>0</v>
      </c>
      <c r="F152" s="87">
        <f>QUOTIENT(0,1000000)</f>
        <v>0</v>
      </c>
      <c r="G152" s="87">
        <f>QUOTIENT(0,1000000)</f>
        <v>0</v>
      </c>
      <c r="H152" s="88">
        <f>QUOTIENT(0,1000000)</f>
        <v>0</v>
      </c>
    </row>
    <row r="153" spans="1:8" ht="21.75" customHeight="1" x14ac:dyDescent="0.15">
      <c r="A153" s="250"/>
      <c r="B153" s="23" t="s">
        <v>19</v>
      </c>
      <c r="C153" s="22">
        <v>199</v>
      </c>
      <c r="D153" s="86">
        <f>QUOTIENT(4702920000000,1000000)</f>
        <v>4702920</v>
      </c>
      <c r="E153" s="86">
        <f>QUOTIENT(447150000000,1000000)</f>
        <v>447150</v>
      </c>
      <c r="F153" s="87">
        <f>QUOTIENT(2296710000000,1000000)</f>
        <v>2296710</v>
      </c>
      <c r="G153" s="87">
        <f>QUOTIENT(1922250000000,1000000)</f>
        <v>1922250</v>
      </c>
      <c r="H153" s="88">
        <f>QUOTIENT(36810000000,1000000)</f>
        <v>36810</v>
      </c>
    </row>
    <row r="154" spans="1:8" ht="21.75" customHeight="1" x14ac:dyDescent="0.15">
      <c r="A154" s="250"/>
      <c r="B154" s="23" t="s">
        <v>18</v>
      </c>
      <c r="C154" s="22">
        <v>4170</v>
      </c>
      <c r="D154" s="86">
        <f>QUOTIENT(90402174000000,1000000)</f>
        <v>90402174</v>
      </c>
      <c r="E154" s="86">
        <f>QUOTIENT(24004309700000,1000000)</f>
        <v>24004309</v>
      </c>
      <c r="F154" s="87">
        <f>QUOTIENT(29151904900000,1000000)</f>
        <v>29151904</v>
      </c>
      <c r="G154" s="87">
        <f>QUOTIENT(36589902200000,1000000)</f>
        <v>36589902</v>
      </c>
      <c r="H154" s="88">
        <f>QUOTIENT(656057200000,1000000)</f>
        <v>656057</v>
      </c>
    </row>
    <row r="155" spans="1:8" ht="21.75" customHeight="1" x14ac:dyDescent="0.15">
      <c r="A155" s="250"/>
      <c r="B155" s="23" t="s">
        <v>17</v>
      </c>
      <c r="C155" s="22">
        <v>811</v>
      </c>
      <c r="D155" s="86">
        <f>QUOTIENT(18476860000000,1000000)</f>
        <v>18476860</v>
      </c>
      <c r="E155" s="86">
        <f>QUOTIENT(5025325900000,1000000)</f>
        <v>5025325</v>
      </c>
      <c r="F155" s="87">
        <f>QUOTIENT(5951087400000,1000000)</f>
        <v>5951087</v>
      </c>
      <c r="G155" s="87">
        <f>QUOTIENT(7413206700000,1000000)</f>
        <v>7413206</v>
      </c>
      <c r="H155" s="88">
        <f>QUOTIENT(87240000000,1000000)</f>
        <v>87240</v>
      </c>
    </row>
    <row r="156" spans="1:8" ht="21.75" customHeight="1" x14ac:dyDescent="0.15">
      <c r="A156" s="250"/>
      <c r="B156" s="23" t="s">
        <v>16</v>
      </c>
      <c r="C156" s="22">
        <v>62067</v>
      </c>
      <c r="D156" s="86">
        <f>QUOTIENT(14880167862000,1000000)</f>
        <v>14880167</v>
      </c>
      <c r="E156" s="86">
        <f>QUOTIENT(3931869888000,1000000)</f>
        <v>3931869</v>
      </c>
      <c r="F156" s="87">
        <f>QUOTIENT(4583737764000,1000000)</f>
        <v>4583737</v>
      </c>
      <c r="G156" s="87">
        <f>QUOTIENT(6336665510000,1000000)</f>
        <v>6336665</v>
      </c>
      <c r="H156" s="88">
        <f>QUOTIENT(27894700000,1000000)</f>
        <v>27894</v>
      </c>
    </row>
    <row r="157" spans="1:8" ht="21.75" customHeight="1" x14ac:dyDescent="0.15">
      <c r="A157" s="250"/>
      <c r="B157" s="23" t="s">
        <v>15</v>
      </c>
      <c r="C157" s="22">
        <v>425</v>
      </c>
      <c r="D157" s="86">
        <f>QUOTIENT(3473603562000,1000000)</f>
        <v>3473603</v>
      </c>
      <c r="E157" s="86">
        <f>QUOTIENT(2925346288000,1000000)</f>
        <v>2925346</v>
      </c>
      <c r="F157" s="87">
        <f>QUOTIENT(463080784000,1000000)</f>
        <v>463080</v>
      </c>
      <c r="G157" s="87">
        <f>QUOTIENT(84931490000,1000000)</f>
        <v>84931</v>
      </c>
      <c r="H157" s="88">
        <f>QUOTIENT(245000000,1000000)</f>
        <v>245</v>
      </c>
    </row>
    <row r="158" spans="1:8" ht="21.75" customHeight="1" x14ac:dyDescent="0.15">
      <c r="A158" s="250"/>
      <c r="B158" s="23" t="s">
        <v>14</v>
      </c>
      <c r="C158" s="22">
        <v>30</v>
      </c>
      <c r="D158" s="86">
        <f>QUOTIENT(82200000000,1000000)</f>
        <v>82200</v>
      </c>
      <c r="E158" s="86">
        <f>QUOTIENT(15300000000,1000000)</f>
        <v>15300</v>
      </c>
      <c r="F158" s="87">
        <f>QUOTIENT(48200000000,1000000)</f>
        <v>48200</v>
      </c>
      <c r="G158" s="87">
        <f>QUOTIENT(18600000000,1000000)</f>
        <v>18600</v>
      </c>
      <c r="H158" s="88">
        <f>QUOTIENT(100000000,1000000)</f>
        <v>100</v>
      </c>
    </row>
    <row r="159" spans="1:8" ht="21.75" customHeight="1" x14ac:dyDescent="0.15">
      <c r="A159" s="250"/>
      <c r="B159" s="23" t="s">
        <v>13</v>
      </c>
      <c r="C159" s="22">
        <v>866</v>
      </c>
      <c r="D159" s="86">
        <f>QUOTIENT(3008642459000,1000000)</f>
        <v>3008642</v>
      </c>
      <c r="E159" s="86">
        <f>QUOTIENT(113964340000,1000000)</f>
        <v>113964</v>
      </c>
      <c r="F159" s="87">
        <f>QUOTIENT(1688919229000,1000000)</f>
        <v>1688919</v>
      </c>
      <c r="G159" s="87">
        <f>QUOTIENT(1205658890000,1000000)</f>
        <v>1205658</v>
      </c>
      <c r="H159" s="88">
        <f>QUOTIENT(100000000,1000000)</f>
        <v>100</v>
      </c>
    </row>
    <row r="160" spans="1:8" ht="21.75" customHeight="1" x14ac:dyDescent="0.15">
      <c r="A160" s="250"/>
      <c r="B160" s="23" t="s">
        <v>12</v>
      </c>
      <c r="C160" s="22">
        <v>306</v>
      </c>
      <c r="D160" s="86">
        <f>QUOTIENT(6969100000000,1000000)</f>
        <v>6969100</v>
      </c>
      <c r="E160" s="86">
        <f>QUOTIENT(1151886000000,1000000)</f>
        <v>1151886</v>
      </c>
      <c r="F160" s="87">
        <f>QUOTIENT(2133742000000,1000000)</f>
        <v>2133742</v>
      </c>
      <c r="G160" s="87">
        <f>QUOTIENT(3658762000000,1000000)</f>
        <v>3658762</v>
      </c>
      <c r="H160" s="88">
        <f>QUOTIENT(24710000000,1000000)</f>
        <v>24710</v>
      </c>
    </row>
    <row r="161" spans="1:8" ht="21.75" customHeight="1" x14ac:dyDescent="0.15">
      <c r="A161" s="250"/>
      <c r="B161" s="23" t="s">
        <v>11</v>
      </c>
      <c r="C161" s="22">
        <v>67</v>
      </c>
      <c r="D161" s="86">
        <f>QUOTIENT(1195150000000,1000000)</f>
        <v>1195150</v>
      </c>
      <c r="E161" s="86">
        <f>QUOTIENT(123700000000,1000000)</f>
        <v>123700</v>
      </c>
      <c r="F161" s="87">
        <f>QUOTIENT(504050000000,1000000)</f>
        <v>504050</v>
      </c>
      <c r="G161" s="87">
        <f>QUOTIENT(567400000000,1000000)</f>
        <v>567400</v>
      </c>
      <c r="H161" s="88">
        <f>QUOTIENT(0,1000000)</f>
        <v>0</v>
      </c>
    </row>
    <row r="162" spans="1:8" ht="21.75" customHeight="1" x14ac:dyDescent="0.15">
      <c r="A162" s="250"/>
      <c r="B162" s="23" t="s">
        <v>10</v>
      </c>
      <c r="C162" s="22">
        <v>0</v>
      </c>
      <c r="D162" s="86">
        <f t="shared" ref="D162:G164" si="5">QUOTIENT(0,1000000)</f>
        <v>0</v>
      </c>
      <c r="E162" s="86">
        <f t="shared" si="5"/>
        <v>0</v>
      </c>
      <c r="F162" s="87">
        <f t="shared" si="5"/>
        <v>0</v>
      </c>
      <c r="G162" s="87">
        <f t="shared" si="5"/>
        <v>0</v>
      </c>
      <c r="H162" s="88">
        <f>QUOTIENT(0,1000000)</f>
        <v>0</v>
      </c>
    </row>
    <row r="163" spans="1:8" ht="21.75" customHeight="1" x14ac:dyDescent="0.15">
      <c r="A163" s="250"/>
      <c r="B163" s="23" t="s">
        <v>9</v>
      </c>
      <c r="C163" s="22">
        <v>0</v>
      </c>
      <c r="D163" s="86">
        <f t="shared" si="5"/>
        <v>0</v>
      </c>
      <c r="E163" s="86">
        <f t="shared" si="5"/>
        <v>0</v>
      </c>
      <c r="F163" s="87">
        <f t="shared" si="5"/>
        <v>0</v>
      </c>
      <c r="G163" s="87">
        <f t="shared" si="5"/>
        <v>0</v>
      </c>
      <c r="H163" s="88">
        <f>QUOTIENT(0,1000000)</f>
        <v>0</v>
      </c>
    </row>
    <row r="164" spans="1:8" ht="21.75" customHeight="1" x14ac:dyDescent="0.15">
      <c r="A164" s="250"/>
      <c r="B164" s="23" t="s">
        <v>8</v>
      </c>
      <c r="C164" s="22">
        <v>0</v>
      </c>
      <c r="D164" s="86">
        <f t="shared" si="5"/>
        <v>0</v>
      </c>
      <c r="E164" s="86">
        <f t="shared" si="5"/>
        <v>0</v>
      </c>
      <c r="F164" s="87">
        <f t="shared" si="5"/>
        <v>0</v>
      </c>
      <c r="G164" s="87">
        <f t="shared" si="5"/>
        <v>0</v>
      </c>
      <c r="H164" s="88">
        <f>QUOTIENT(0,1000000)</f>
        <v>0</v>
      </c>
    </row>
    <row r="165" spans="1:8" ht="21.75" customHeight="1" x14ac:dyDescent="0.15">
      <c r="A165" s="251"/>
      <c r="B165" s="23" t="s">
        <v>7</v>
      </c>
      <c r="C165" s="22">
        <v>107</v>
      </c>
      <c r="D165" s="86">
        <f>QUOTIENT(8520000000,1000000)</f>
        <v>8520</v>
      </c>
      <c r="E165" s="86">
        <f>QUOTIENT(0,1000000)</f>
        <v>0</v>
      </c>
      <c r="F165" s="87">
        <f>QUOTIENT(0,1000000)</f>
        <v>0</v>
      </c>
      <c r="G165" s="87">
        <f>QUOTIENT(8520000000,1000000)</f>
        <v>8520</v>
      </c>
      <c r="H165" s="88">
        <f>QUOTIENT(0,1000000)</f>
        <v>0</v>
      </c>
    </row>
    <row r="166" spans="1:8" ht="21.75" customHeight="1" x14ac:dyDescent="0.15">
      <c r="A166" s="18" t="s">
        <v>6</v>
      </c>
      <c r="B166" s="17" t="s">
        <v>5</v>
      </c>
      <c r="C166" s="16">
        <v>3207</v>
      </c>
      <c r="D166" s="80">
        <v>24550196</v>
      </c>
      <c r="E166" s="80">
        <v>951800</v>
      </c>
      <c r="F166" s="81">
        <v>11777486</v>
      </c>
      <c r="G166" s="81">
        <v>9940303</v>
      </c>
      <c r="H166" s="82">
        <v>1880607</v>
      </c>
    </row>
    <row r="167" spans="1:8" ht="21.75" customHeight="1" x14ac:dyDescent="0.15">
      <c r="A167" s="252" t="s">
        <v>4</v>
      </c>
      <c r="B167" s="12" t="s">
        <v>3</v>
      </c>
      <c r="C167" s="11">
        <v>5629</v>
      </c>
      <c r="D167" s="89">
        <f>QUOTIENT(122227462400791,1000000)</f>
        <v>122227462</v>
      </c>
      <c r="E167" s="89">
        <f>QUOTIENT(78166308107459,1000000)</f>
        <v>78166308</v>
      </c>
      <c r="F167" s="90">
        <f>QUOTIENT(20284327319759,1000000)</f>
        <v>20284327</v>
      </c>
      <c r="G167" s="90">
        <f>QUOTIENT(13895132768376,1000000)</f>
        <v>13895132</v>
      </c>
      <c r="H167" s="91">
        <f>QUOTIENT(9881694205197,1000000)</f>
        <v>9881694</v>
      </c>
    </row>
    <row r="168" spans="1:8" ht="21.75" customHeight="1" thickBot="1" x14ac:dyDescent="0.2">
      <c r="A168" s="253"/>
      <c r="B168" s="7" t="s">
        <v>1153</v>
      </c>
      <c r="C168" s="6">
        <v>8397</v>
      </c>
      <c r="D168" s="92" t="s">
        <v>2178</v>
      </c>
      <c r="E168" s="92" t="s">
        <v>2178</v>
      </c>
      <c r="F168" s="92" t="s">
        <v>2178</v>
      </c>
      <c r="G168" s="92" t="s">
        <v>2178</v>
      </c>
      <c r="H168" s="93" t="s">
        <v>2178</v>
      </c>
    </row>
    <row r="169" spans="1:8" ht="18" customHeight="1" x14ac:dyDescent="0.15">
      <c r="A169" s="3" t="s">
        <v>1155</v>
      </c>
      <c r="B169" s="2"/>
      <c r="C169" s="2"/>
      <c r="D169" s="2"/>
      <c r="E169" s="2"/>
      <c r="F169" s="2"/>
      <c r="G169" s="2"/>
      <c r="H169" s="2"/>
    </row>
    <row r="170" spans="1:8" ht="18" customHeight="1" x14ac:dyDescent="0.15">
      <c r="A170" s="3" t="s">
        <v>2591</v>
      </c>
      <c r="B170" s="2"/>
      <c r="C170" s="2"/>
      <c r="D170" s="2"/>
      <c r="E170" s="2"/>
      <c r="F170" s="2"/>
      <c r="G170" s="2"/>
      <c r="H170" s="2"/>
    </row>
    <row r="171" spans="1:8" ht="18" customHeight="1" x14ac:dyDescent="0.15">
      <c r="A171" s="3" t="s">
        <v>1156</v>
      </c>
      <c r="B171" s="2"/>
      <c r="C171" s="2"/>
      <c r="D171" s="2"/>
      <c r="E171" s="2"/>
      <c r="F171" s="2"/>
      <c r="G171" s="2"/>
      <c r="H171" s="2"/>
    </row>
    <row r="172" spans="1:8" ht="18" customHeight="1" x14ac:dyDescent="0.15">
      <c r="A172" s="3" t="s">
        <v>2596</v>
      </c>
      <c r="B172" s="2"/>
      <c r="C172" s="2"/>
      <c r="D172" s="2"/>
      <c r="E172" s="2"/>
      <c r="F172" s="2"/>
      <c r="G172" s="2"/>
      <c r="H172" s="2"/>
    </row>
    <row r="173" spans="1:8" ht="24" x14ac:dyDescent="0.15">
      <c r="A173" s="230" t="s">
        <v>2593</v>
      </c>
      <c r="B173" s="230"/>
      <c r="C173" s="230"/>
      <c r="D173" s="230"/>
      <c r="E173" s="230"/>
      <c r="F173" s="230"/>
      <c r="G173" s="230"/>
      <c r="H173" s="230"/>
    </row>
    <row r="174" spans="1:8" ht="18" customHeight="1" x14ac:dyDescent="0.15">
      <c r="A174" s="231"/>
      <c r="B174" s="231"/>
      <c r="C174" s="231"/>
      <c r="D174" s="231"/>
      <c r="E174" s="231"/>
      <c r="F174" s="231"/>
      <c r="G174" s="231"/>
      <c r="H174" s="231"/>
    </row>
    <row r="175" spans="1:8" thickBot="1" x14ac:dyDescent="0.2">
      <c r="A175" s="58" t="s">
        <v>48</v>
      </c>
    </row>
    <row r="176" spans="1:8" ht="18" customHeight="1" x14ac:dyDescent="0.15">
      <c r="A176" s="232" t="s">
        <v>47</v>
      </c>
      <c r="B176" s="235" t="s">
        <v>46</v>
      </c>
      <c r="C176" s="238" t="s">
        <v>45</v>
      </c>
      <c r="D176" s="241" t="s">
        <v>44</v>
      </c>
      <c r="E176" s="201"/>
      <c r="F176" s="56"/>
      <c r="G176" s="56"/>
      <c r="H176" s="55"/>
    </row>
    <row r="177" spans="1:8" ht="18" customHeight="1" x14ac:dyDescent="0.15">
      <c r="A177" s="233"/>
      <c r="B177" s="236"/>
      <c r="C177" s="239"/>
      <c r="D177" s="242"/>
      <c r="E177" s="244" t="s">
        <v>43</v>
      </c>
      <c r="F177" s="246" t="s">
        <v>42</v>
      </c>
      <c r="G177" s="246" t="s">
        <v>41</v>
      </c>
      <c r="H177" s="248" t="s">
        <v>40</v>
      </c>
    </row>
    <row r="178" spans="1:8" ht="18" customHeight="1" thickBot="1" x14ac:dyDescent="0.2">
      <c r="A178" s="234"/>
      <c r="B178" s="237"/>
      <c r="C178" s="240"/>
      <c r="D178" s="243"/>
      <c r="E178" s="245"/>
      <c r="F178" s="247"/>
      <c r="G178" s="247"/>
      <c r="H178" s="249"/>
    </row>
    <row r="179" spans="1:8" s="60" customFormat="1" ht="18" customHeight="1" thickTop="1" x14ac:dyDescent="0.15">
      <c r="A179" s="202"/>
      <c r="B179" s="203"/>
      <c r="C179" s="52"/>
      <c r="D179" s="51" t="s">
        <v>39</v>
      </c>
      <c r="E179" s="50" t="s">
        <v>39</v>
      </c>
      <c r="F179" s="49" t="s">
        <v>39</v>
      </c>
      <c r="G179" s="49" t="s">
        <v>39</v>
      </c>
      <c r="H179" s="48" t="s">
        <v>39</v>
      </c>
    </row>
    <row r="180" spans="1:8" ht="21.75" customHeight="1" x14ac:dyDescent="0.15">
      <c r="A180" s="250" t="s">
        <v>38</v>
      </c>
      <c r="B180" s="61" t="s">
        <v>37</v>
      </c>
      <c r="C180" s="62">
        <v>4022</v>
      </c>
      <c r="D180" s="63">
        <f>QUOTIENT(884192102191294,1000000)</f>
        <v>884192102</v>
      </c>
      <c r="E180" s="63">
        <f>QUOTIENT(317095380163616,1000000)</f>
        <v>317095380</v>
      </c>
      <c r="F180" s="64">
        <f>QUOTIENT(290669016543081,1000000)</f>
        <v>290669016</v>
      </c>
      <c r="G180" s="64">
        <f>QUOTIENT(264443974380868,1000000)</f>
        <v>264443974</v>
      </c>
      <c r="H180" s="65">
        <f>QUOTIENT(11983731103728,1000000)</f>
        <v>11983731</v>
      </c>
    </row>
    <row r="181" spans="1:8" ht="21.75" customHeight="1" x14ac:dyDescent="0.15">
      <c r="A181" s="250"/>
      <c r="B181" s="66" t="s">
        <v>36</v>
      </c>
      <c r="C181" s="67">
        <v>14</v>
      </c>
      <c r="D181" s="68">
        <f>QUOTIENT(34596000,1000000)</f>
        <v>34</v>
      </c>
      <c r="E181" s="68">
        <f>QUOTIENT(34596000,1000000)</f>
        <v>34</v>
      </c>
      <c r="F181" s="69">
        <f t="shared" ref="F181:H182" si="6">QUOTIENT(0,1000000)</f>
        <v>0</v>
      </c>
      <c r="G181" s="69">
        <f t="shared" si="6"/>
        <v>0</v>
      </c>
      <c r="H181" s="70">
        <f t="shared" si="6"/>
        <v>0</v>
      </c>
    </row>
    <row r="182" spans="1:8" ht="21.75" customHeight="1" x14ac:dyDescent="0.15">
      <c r="A182" s="250"/>
      <c r="B182" s="66" t="s">
        <v>35</v>
      </c>
      <c r="C182" s="67">
        <v>118</v>
      </c>
      <c r="D182" s="68">
        <f>QUOTIENT(0,1000000)</f>
        <v>0</v>
      </c>
      <c r="E182" s="68">
        <f>QUOTIENT(0,1000000)</f>
        <v>0</v>
      </c>
      <c r="F182" s="69">
        <f t="shared" si="6"/>
        <v>0</v>
      </c>
      <c r="G182" s="69">
        <f t="shared" si="6"/>
        <v>0</v>
      </c>
      <c r="H182" s="70">
        <f t="shared" si="6"/>
        <v>0</v>
      </c>
    </row>
    <row r="183" spans="1:8" ht="21.75" customHeight="1" x14ac:dyDescent="0.15">
      <c r="A183" s="250"/>
      <c r="B183" s="71" t="s">
        <v>34</v>
      </c>
      <c r="C183" s="72">
        <v>1</v>
      </c>
      <c r="D183" s="73">
        <f>QUOTIENT(193486250400,1000000)</f>
        <v>193486</v>
      </c>
      <c r="E183" s="73">
        <f>QUOTIENT(146184948800,1000000)</f>
        <v>146184</v>
      </c>
      <c r="F183" s="74">
        <f>QUOTIENT(9160669200,1000000)</f>
        <v>9160</v>
      </c>
      <c r="G183" s="74">
        <f>QUOTIENT(36624645600,1000000)</f>
        <v>36624</v>
      </c>
      <c r="H183" s="75">
        <f>QUOTIENT(1515986800,1000000)</f>
        <v>1515</v>
      </c>
    </row>
    <row r="184" spans="1:8" ht="21.75" customHeight="1" x14ac:dyDescent="0.15">
      <c r="A184" s="250"/>
      <c r="B184" s="66" t="s">
        <v>33</v>
      </c>
      <c r="C184" s="67">
        <v>63</v>
      </c>
      <c r="D184" s="68">
        <f>QUOTIENT(15901913183500,1000000)</f>
        <v>15901913</v>
      </c>
      <c r="E184" s="68">
        <f>QUOTIENT(3957652292500,1000000)</f>
        <v>3957652</v>
      </c>
      <c r="F184" s="69">
        <f>QUOTIENT(4428132924100,1000000)</f>
        <v>4428132</v>
      </c>
      <c r="G184" s="69">
        <f>QUOTIENT(7356317558800,1000000)</f>
        <v>7356317</v>
      </c>
      <c r="H184" s="70">
        <f>QUOTIENT(159810408100,1000000)</f>
        <v>159810</v>
      </c>
    </row>
    <row r="185" spans="1:8" ht="21.75" customHeight="1" x14ac:dyDescent="0.15">
      <c r="A185" s="250"/>
      <c r="B185" s="76" t="s">
        <v>32</v>
      </c>
      <c r="C185" s="67">
        <v>284</v>
      </c>
      <c r="D185" s="68">
        <f>QUOTIENT(75127546841072,1000000)</f>
        <v>75127546</v>
      </c>
      <c r="E185" s="68">
        <f>QUOTIENT(5534672428266,1000000)</f>
        <v>5534672</v>
      </c>
      <c r="F185" s="69">
        <f>QUOTIENT(2731886301417,1000000)</f>
        <v>2731886</v>
      </c>
      <c r="G185" s="69">
        <f>QUOTIENT(66666434147954,1000000)</f>
        <v>66666434</v>
      </c>
      <c r="H185" s="70">
        <f>QUOTIENT(194553963434,1000000)</f>
        <v>194553</v>
      </c>
    </row>
    <row r="186" spans="1:8" ht="21.75" customHeight="1" x14ac:dyDescent="0.15">
      <c r="A186" s="251"/>
      <c r="B186" s="77" t="s">
        <v>31</v>
      </c>
      <c r="C186" s="72">
        <v>34</v>
      </c>
      <c r="D186" s="73">
        <f>QUOTIENT(530466004760,1000000)</f>
        <v>530466</v>
      </c>
      <c r="E186" s="73">
        <f>QUOTIENT(342196651070,1000000)</f>
        <v>342196</v>
      </c>
      <c r="F186" s="74">
        <f>QUOTIENT(8038983242,1000000)</f>
        <v>8038</v>
      </c>
      <c r="G186" s="74">
        <f>QUOTIENT(166111557810,1000000)</f>
        <v>166111</v>
      </c>
      <c r="H186" s="75">
        <f>QUOTIENT(14118812638,1000000)</f>
        <v>14118</v>
      </c>
    </row>
    <row r="187" spans="1:8" ht="21.75" customHeight="1" x14ac:dyDescent="0.15">
      <c r="A187" s="30" t="s">
        <v>30</v>
      </c>
      <c r="B187" s="78" t="s">
        <v>29</v>
      </c>
      <c r="C187" s="79">
        <v>27</v>
      </c>
      <c r="D187" s="80">
        <f>QUOTIENT(10685920990229,1000000)</f>
        <v>10685920</v>
      </c>
      <c r="E187" s="80">
        <f>QUOTIENT(9917058709383,1000000)</f>
        <v>9917058</v>
      </c>
      <c r="F187" s="81">
        <f>QUOTIENT(72858987720,1000000)</f>
        <v>72858</v>
      </c>
      <c r="G187" s="81">
        <f>QUOTIENT(322828000,1000000)</f>
        <v>322</v>
      </c>
      <c r="H187" s="82">
        <f>QUOTIENT(695680465126,1000000)</f>
        <v>695680</v>
      </c>
    </row>
    <row r="188" spans="1:8" ht="21.75" customHeight="1" x14ac:dyDescent="0.15">
      <c r="A188" s="252" t="s">
        <v>28</v>
      </c>
      <c r="B188" s="17" t="s">
        <v>27</v>
      </c>
      <c r="C188" s="16">
        <v>3550</v>
      </c>
      <c r="D188" s="83">
        <f>QUOTIENT(65363850000000,1000000)</f>
        <v>65363850</v>
      </c>
      <c r="E188" s="83">
        <f>QUOTIENT(10994996060000,1000000)</f>
        <v>10994996</v>
      </c>
      <c r="F188" s="84">
        <f>QUOTIENT(29173626940000,1000000)</f>
        <v>29173626</v>
      </c>
      <c r="G188" s="84">
        <f>QUOTIENT(25060702920000,1000000)</f>
        <v>25060702</v>
      </c>
      <c r="H188" s="85">
        <f>QUOTIENT(134524080000,1000000)</f>
        <v>134524</v>
      </c>
    </row>
    <row r="189" spans="1:8" ht="21.75" customHeight="1" x14ac:dyDescent="0.15">
      <c r="A189" s="250"/>
      <c r="B189" s="23" t="s">
        <v>26</v>
      </c>
      <c r="C189" s="22">
        <v>3452</v>
      </c>
      <c r="D189" s="86">
        <f>QUOTIENT(14927632391000,1000000)</f>
        <v>14927632</v>
      </c>
      <c r="E189" s="86">
        <f>QUOTIENT(516000636000,1000000)</f>
        <v>516000</v>
      </c>
      <c r="F189" s="87">
        <f>QUOTIENT(9795125125000,1000000)</f>
        <v>9795125</v>
      </c>
      <c r="G189" s="87">
        <f>QUOTIENT(4605569630000,1000000)</f>
        <v>4605569</v>
      </c>
      <c r="H189" s="88">
        <f>QUOTIENT(10937000000,1000000)</f>
        <v>10937</v>
      </c>
    </row>
    <row r="190" spans="1:8" ht="21.75" customHeight="1" x14ac:dyDescent="0.15">
      <c r="A190" s="250"/>
      <c r="B190" s="24" t="s">
        <v>25</v>
      </c>
      <c r="C190" s="22">
        <v>552</v>
      </c>
      <c r="D190" s="86">
        <f>QUOTIENT(18508900000000,1000000)</f>
        <v>18508900</v>
      </c>
      <c r="E190" s="86">
        <f>QUOTIENT(1350560300000,1000000)</f>
        <v>1350560</v>
      </c>
      <c r="F190" s="87">
        <f>QUOTIENT(7086479500000,1000000)</f>
        <v>7086479</v>
      </c>
      <c r="G190" s="87">
        <f>QUOTIENT(10010115200000,1000000)</f>
        <v>10010115</v>
      </c>
      <c r="H190" s="88">
        <f>QUOTIENT(61745000000,1000000)</f>
        <v>61745</v>
      </c>
    </row>
    <row r="191" spans="1:8" ht="21.75" customHeight="1" x14ac:dyDescent="0.15">
      <c r="A191" s="250"/>
      <c r="B191" s="23" t="s">
        <v>24</v>
      </c>
      <c r="C191" s="22">
        <v>2144</v>
      </c>
      <c r="D191" s="86">
        <f>QUOTIENT(54710300000000,1000000)</f>
        <v>54710300</v>
      </c>
      <c r="E191" s="86">
        <f>QUOTIENT(8066234680000,1000000)</f>
        <v>8066234</v>
      </c>
      <c r="F191" s="87">
        <f>QUOTIENT(19152545320000,1000000)</f>
        <v>19152545</v>
      </c>
      <c r="G191" s="87">
        <f>QUOTIENT(27480870000000,1000000)</f>
        <v>27480870</v>
      </c>
      <c r="H191" s="88">
        <f>QUOTIENT(10650000000,1000000)</f>
        <v>10650</v>
      </c>
    </row>
    <row r="192" spans="1:8" ht="21.75" customHeight="1" x14ac:dyDescent="0.15">
      <c r="A192" s="250"/>
      <c r="B192" s="23" t="s">
        <v>23</v>
      </c>
      <c r="C192" s="22">
        <v>530</v>
      </c>
      <c r="D192" s="86">
        <f>QUOTIENT(5258056000000,1000000)</f>
        <v>5258056</v>
      </c>
      <c r="E192" s="86">
        <f>QUOTIENT(287562400000,1000000)</f>
        <v>287562</v>
      </c>
      <c r="F192" s="87">
        <f>QUOTIENT(84576900000,1000000)</f>
        <v>84576</v>
      </c>
      <c r="G192" s="87">
        <f>QUOTIENT(4885916700000,1000000)</f>
        <v>4885916</v>
      </c>
      <c r="H192" s="88">
        <f>QUOTIENT(0,1000000)</f>
        <v>0</v>
      </c>
    </row>
    <row r="193" spans="1:8" ht="21.75" customHeight="1" x14ac:dyDescent="0.15">
      <c r="A193" s="250"/>
      <c r="B193" s="23" t="s">
        <v>22</v>
      </c>
      <c r="C193" s="22">
        <v>178</v>
      </c>
      <c r="D193" s="86">
        <f>QUOTIENT(1328900000000,1000000)</f>
        <v>1328900</v>
      </c>
      <c r="E193" s="86">
        <f>QUOTIENT(343370000000,1000000)</f>
        <v>343370</v>
      </c>
      <c r="F193" s="87">
        <f>QUOTIENT(471500000000,1000000)</f>
        <v>471500</v>
      </c>
      <c r="G193" s="87">
        <f>QUOTIENT(514030000000,1000000)</f>
        <v>514030</v>
      </c>
      <c r="H193" s="88">
        <f>QUOTIENT(0,1000000)</f>
        <v>0</v>
      </c>
    </row>
    <row r="194" spans="1:8" ht="21.75" customHeight="1" x14ac:dyDescent="0.15">
      <c r="A194" s="250"/>
      <c r="B194" s="23" t="s">
        <v>21</v>
      </c>
      <c r="C194" s="22">
        <v>19</v>
      </c>
      <c r="D194" s="86">
        <f>QUOTIENT(121410000000,1000000)</f>
        <v>121410</v>
      </c>
      <c r="E194" s="86">
        <f>QUOTIENT(108903000000,1000000)</f>
        <v>108903</v>
      </c>
      <c r="F194" s="87">
        <f>QUOTIENT(6220000000,1000000)</f>
        <v>6220</v>
      </c>
      <c r="G194" s="87">
        <f>QUOTIENT(6287000000,1000000)</f>
        <v>6287</v>
      </c>
      <c r="H194" s="88">
        <f>QUOTIENT(0,1000000)</f>
        <v>0</v>
      </c>
    </row>
    <row r="195" spans="1:8" ht="21.75" customHeight="1" x14ac:dyDescent="0.15">
      <c r="A195" s="250"/>
      <c r="B195" s="23" t="s">
        <v>20</v>
      </c>
      <c r="C195" s="22">
        <v>0</v>
      </c>
      <c r="D195" s="86">
        <f>QUOTIENT(0,1000000)</f>
        <v>0</v>
      </c>
      <c r="E195" s="86">
        <f>QUOTIENT(0,1000000)</f>
        <v>0</v>
      </c>
      <c r="F195" s="87">
        <f>QUOTIENT(0,1000000)</f>
        <v>0</v>
      </c>
      <c r="G195" s="87">
        <f>QUOTIENT(0,1000000)</f>
        <v>0</v>
      </c>
      <c r="H195" s="88">
        <f>QUOTIENT(0,1000000)</f>
        <v>0</v>
      </c>
    </row>
    <row r="196" spans="1:8" ht="21.75" customHeight="1" x14ac:dyDescent="0.15">
      <c r="A196" s="250"/>
      <c r="B196" s="23" t="s">
        <v>19</v>
      </c>
      <c r="C196" s="22">
        <v>200</v>
      </c>
      <c r="D196" s="86">
        <f>QUOTIENT(4721780000000,1000000)</f>
        <v>4721780</v>
      </c>
      <c r="E196" s="86">
        <f>QUOTIENT(453040000000,1000000)</f>
        <v>453040</v>
      </c>
      <c r="F196" s="87">
        <f>QUOTIENT(2270790000000,1000000)</f>
        <v>2270790</v>
      </c>
      <c r="G196" s="87">
        <f>QUOTIENT(1880940000000,1000000)</f>
        <v>1880940</v>
      </c>
      <c r="H196" s="88">
        <f>QUOTIENT(117010000000,1000000)</f>
        <v>117010</v>
      </c>
    </row>
    <row r="197" spans="1:8" ht="21.75" customHeight="1" x14ac:dyDescent="0.15">
      <c r="A197" s="250"/>
      <c r="B197" s="23" t="s">
        <v>18</v>
      </c>
      <c r="C197" s="22">
        <v>4164</v>
      </c>
      <c r="D197" s="86">
        <f>QUOTIENT(90867674000000,1000000)</f>
        <v>90867674</v>
      </c>
      <c r="E197" s="86">
        <f>QUOTIENT(23997976000000,1000000)</f>
        <v>23997976</v>
      </c>
      <c r="F197" s="87">
        <f>QUOTIENT(29344289300000,1000000)</f>
        <v>29344289</v>
      </c>
      <c r="G197" s="87">
        <f>QUOTIENT(36863375500000,1000000)</f>
        <v>36863375</v>
      </c>
      <c r="H197" s="88">
        <f>QUOTIENT(662033200000,1000000)</f>
        <v>662033</v>
      </c>
    </row>
    <row r="198" spans="1:8" ht="21.75" customHeight="1" x14ac:dyDescent="0.15">
      <c r="A198" s="250"/>
      <c r="B198" s="23" t="s">
        <v>17</v>
      </c>
      <c r="C198" s="22">
        <v>813</v>
      </c>
      <c r="D198" s="86">
        <f>QUOTIENT(18671860000000,1000000)</f>
        <v>18671860</v>
      </c>
      <c r="E198" s="86">
        <f>QUOTIENT(5020766700000,1000000)</f>
        <v>5020766</v>
      </c>
      <c r="F198" s="87">
        <f>QUOTIENT(5987055300000,1000000)</f>
        <v>5987055</v>
      </c>
      <c r="G198" s="87">
        <f>QUOTIENT(7577321000000,1000000)</f>
        <v>7577321</v>
      </c>
      <c r="H198" s="88">
        <f>QUOTIENT(86717000000,1000000)</f>
        <v>86717</v>
      </c>
    </row>
    <row r="199" spans="1:8" ht="21.75" customHeight="1" x14ac:dyDescent="0.15">
      <c r="A199" s="250"/>
      <c r="B199" s="23" t="s">
        <v>16</v>
      </c>
      <c r="C199" s="22">
        <v>62409</v>
      </c>
      <c r="D199" s="86">
        <f>QUOTIENT(14914151562000,1000000)</f>
        <v>14914151</v>
      </c>
      <c r="E199" s="86">
        <f>QUOTIENT(3956651888000,1000000)</f>
        <v>3956651</v>
      </c>
      <c r="F199" s="87">
        <f>QUOTIENT(4611847064000,1000000)</f>
        <v>4611847</v>
      </c>
      <c r="G199" s="87">
        <f>QUOTIENT(6317843910000,1000000)</f>
        <v>6317843</v>
      </c>
      <c r="H199" s="88">
        <f>QUOTIENT(27808700000,1000000)</f>
        <v>27808</v>
      </c>
    </row>
    <row r="200" spans="1:8" ht="21.75" customHeight="1" x14ac:dyDescent="0.15">
      <c r="A200" s="250"/>
      <c r="B200" s="23" t="s">
        <v>15</v>
      </c>
      <c r="C200" s="22">
        <v>427</v>
      </c>
      <c r="D200" s="86">
        <f>QUOTIENT(3487385562000,1000000)</f>
        <v>3487385</v>
      </c>
      <c r="E200" s="86">
        <f>QUOTIENT(2939128288000,1000000)</f>
        <v>2939128</v>
      </c>
      <c r="F200" s="87">
        <f>QUOTIENT(463080784000,1000000)</f>
        <v>463080</v>
      </c>
      <c r="G200" s="87">
        <f>QUOTIENT(84931490000,1000000)</f>
        <v>84931</v>
      </c>
      <c r="H200" s="88">
        <f>QUOTIENT(245000000,1000000)</f>
        <v>245</v>
      </c>
    </row>
    <row r="201" spans="1:8" ht="21.75" customHeight="1" x14ac:dyDescent="0.15">
      <c r="A201" s="250"/>
      <c r="B201" s="23" t="s">
        <v>14</v>
      </c>
      <c r="C201" s="22">
        <v>31</v>
      </c>
      <c r="D201" s="86">
        <f>QUOTIENT(89700000000,1000000)</f>
        <v>89700</v>
      </c>
      <c r="E201" s="86">
        <f>QUOTIENT(18000000000,1000000)</f>
        <v>18000</v>
      </c>
      <c r="F201" s="87">
        <f>QUOTIENT(52000000000,1000000)</f>
        <v>52000</v>
      </c>
      <c r="G201" s="87">
        <f>QUOTIENT(19600000000,1000000)</f>
        <v>19600</v>
      </c>
      <c r="H201" s="88">
        <f>QUOTIENT(100000000,1000000)</f>
        <v>100</v>
      </c>
    </row>
    <row r="202" spans="1:8" ht="21.75" customHeight="1" x14ac:dyDescent="0.15">
      <c r="A202" s="250"/>
      <c r="B202" s="23" t="s">
        <v>13</v>
      </c>
      <c r="C202" s="22">
        <v>862</v>
      </c>
      <c r="D202" s="86">
        <f>QUOTIENT(3041246456000,1000000)</f>
        <v>3041246</v>
      </c>
      <c r="E202" s="86">
        <f>QUOTIENT(112334340000,1000000)</f>
        <v>112334</v>
      </c>
      <c r="F202" s="87">
        <f>QUOTIENT(1687840226000,1000000)</f>
        <v>1687840</v>
      </c>
      <c r="G202" s="87">
        <f>QUOTIENT(1240971890000,1000000)</f>
        <v>1240971</v>
      </c>
      <c r="H202" s="88">
        <f>QUOTIENT(100000000,1000000)</f>
        <v>100</v>
      </c>
    </row>
    <row r="203" spans="1:8" ht="21.75" customHeight="1" x14ac:dyDescent="0.15">
      <c r="A203" s="250"/>
      <c r="B203" s="23" t="s">
        <v>12</v>
      </c>
      <c r="C203" s="22">
        <v>296</v>
      </c>
      <c r="D203" s="86">
        <f>QUOTIENT(6756400000000,1000000)</f>
        <v>6756400</v>
      </c>
      <c r="E203" s="86">
        <f>QUOTIENT(1102286000000,1000000)</f>
        <v>1102286</v>
      </c>
      <c r="F203" s="87">
        <f>QUOTIENT(2091042000000,1000000)</f>
        <v>2091042</v>
      </c>
      <c r="G203" s="87">
        <f>QUOTIENT(3538262000000,1000000)</f>
        <v>3538262</v>
      </c>
      <c r="H203" s="88">
        <f>QUOTIENT(24810000000,1000000)</f>
        <v>24810</v>
      </c>
    </row>
    <row r="204" spans="1:8" ht="21.75" customHeight="1" x14ac:dyDescent="0.15">
      <c r="A204" s="250"/>
      <c r="B204" s="23" t="s">
        <v>11</v>
      </c>
      <c r="C204" s="22">
        <v>68</v>
      </c>
      <c r="D204" s="86">
        <f>QUOTIENT(1331050000000,1000000)</f>
        <v>1331050</v>
      </c>
      <c r="E204" s="86">
        <f>QUOTIENT(175500000000,1000000)</f>
        <v>175500</v>
      </c>
      <c r="F204" s="87">
        <f>QUOTIENT(536150000000,1000000)</f>
        <v>536150</v>
      </c>
      <c r="G204" s="87">
        <f>QUOTIENT(619400000000,1000000)</f>
        <v>619400</v>
      </c>
      <c r="H204" s="88">
        <f>QUOTIENT(0,1000000)</f>
        <v>0</v>
      </c>
    </row>
    <row r="205" spans="1:8" ht="21.75" customHeight="1" x14ac:dyDescent="0.15">
      <c r="A205" s="250"/>
      <c r="B205" s="23" t="s">
        <v>10</v>
      </c>
      <c r="C205" s="22">
        <v>0</v>
      </c>
      <c r="D205" s="86">
        <f t="shared" ref="D205:G207" si="7">QUOTIENT(0,1000000)</f>
        <v>0</v>
      </c>
      <c r="E205" s="86">
        <f t="shared" si="7"/>
        <v>0</v>
      </c>
      <c r="F205" s="87">
        <f t="shared" si="7"/>
        <v>0</v>
      </c>
      <c r="G205" s="87">
        <f t="shared" si="7"/>
        <v>0</v>
      </c>
      <c r="H205" s="88">
        <f>QUOTIENT(0,1000000)</f>
        <v>0</v>
      </c>
    </row>
    <row r="206" spans="1:8" ht="21.75" customHeight="1" x14ac:dyDescent="0.15">
      <c r="A206" s="250"/>
      <c r="B206" s="23" t="s">
        <v>9</v>
      </c>
      <c r="C206" s="22">
        <v>0</v>
      </c>
      <c r="D206" s="86">
        <f t="shared" si="7"/>
        <v>0</v>
      </c>
      <c r="E206" s="86">
        <f t="shared" si="7"/>
        <v>0</v>
      </c>
      <c r="F206" s="87">
        <f t="shared" si="7"/>
        <v>0</v>
      </c>
      <c r="G206" s="87">
        <f t="shared" si="7"/>
        <v>0</v>
      </c>
      <c r="H206" s="88">
        <f>QUOTIENT(0,1000000)</f>
        <v>0</v>
      </c>
    </row>
    <row r="207" spans="1:8" ht="21.75" customHeight="1" x14ac:dyDescent="0.15">
      <c r="A207" s="250"/>
      <c r="B207" s="23" t="s">
        <v>8</v>
      </c>
      <c r="C207" s="22">
        <v>0</v>
      </c>
      <c r="D207" s="86">
        <f t="shared" si="7"/>
        <v>0</v>
      </c>
      <c r="E207" s="86">
        <f t="shared" si="7"/>
        <v>0</v>
      </c>
      <c r="F207" s="87">
        <f t="shared" si="7"/>
        <v>0</v>
      </c>
      <c r="G207" s="87">
        <f t="shared" si="7"/>
        <v>0</v>
      </c>
      <c r="H207" s="88">
        <f>QUOTIENT(0,1000000)</f>
        <v>0</v>
      </c>
    </row>
    <row r="208" spans="1:8" ht="21.75" customHeight="1" x14ac:dyDescent="0.15">
      <c r="A208" s="251"/>
      <c r="B208" s="23" t="s">
        <v>7</v>
      </c>
      <c r="C208" s="22">
        <v>99</v>
      </c>
      <c r="D208" s="86">
        <f>QUOTIENT(7910000000,1000000)</f>
        <v>7910</v>
      </c>
      <c r="E208" s="86">
        <f>QUOTIENT(0,1000000)</f>
        <v>0</v>
      </c>
      <c r="F208" s="87">
        <f>QUOTIENT(0,1000000)</f>
        <v>0</v>
      </c>
      <c r="G208" s="87">
        <f>QUOTIENT(7910000000,1000000)</f>
        <v>7910</v>
      </c>
      <c r="H208" s="88">
        <f>QUOTIENT(0,1000000)</f>
        <v>0</v>
      </c>
    </row>
    <row r="209" spans="1:8" ht="21.75" customHeight="1" x14ac:dyDescent="0.15">
      <c r="A209" s="18" t="s">
        <v>6</v>
      </c>
      <c r="B209" s="17" t="s">
        <v>5</v>
      </c>
      <c r="C209" s="16">
        <v>3223</v>
      </c>
      <c r="D209" s="80">
        <v>27425588</v>
      </c>
      <c r="E209" s="80">
        <v>910100</v>
      </c>
      <c r="F209" s="81">
        <v>13016463</v>
      </c>
      <c r="G209" s="81">
        <v>10431225</v>
      </c>
      <c r="H209" s="82">
        <v>3067800</v>
      </c>
    </row>
    <row r="210" spans="1:8" ht="21.75" customHeight="1" x14ac:dyDescent="0.15">
      <c r="A210" s="252" t="s">
        <v>4</v>
      </c>
      <c r="B210" s="12" t="s">
        <v>3</v>
      </c>
      <c r="C210" s="11">
        <v>5615</v>
      </c>
      <c r="D210" s="89">
        <f>QUOTIENT(120340928709798,1000000)</f>
        <v>120340928</v>
      </c>
      <c r="E210" s="89">
        <f>QUOTIENT(76657687949495,1000000)</f>
        <v>76657687</v>
      </c>
      <c r="F210" s="90">
        <f>QUOTIENT(20091262569728,1000000)</f>
        <v>20091262</v>
      </c>
      <c r="G210" s="90">
        <f>QUOTIENT(13830390012574,1000000)</f>
        <v>13830390</v>
      </c>
      <c r="H210" s="91">
        <f>QUOTIENT(9761588178001,1000000)</f>
        <v>9761588</v>
      </c>
    </row>
    <row r="211" spans="1:8" ht="21.75" customHeight="1" thickBot="1" x14ac:dyDescent="0.2">
      <c r="A211" s="253"/>
      <c r="B211" s="7" t="s">
        <v>1153</v>
      </c>
      <c r="C211" s="6">
        <v>8403</v>
      </c>
      <c r="D211" s="92" t="s">
        <v>2178</v>
      </c>
      <c r="E211" s="92" t="s">
        <v>2178</v>
      </c>
      <c r="F211" s="92" t="s">
        <v>2178</v>
      </c>
      <c r="G211" s="92" t="s">
        <v>2178</v>
      </c>
      <c r="H211" s="93" t="s">
        <v>2178</v>
      </c>
    </row>
    <row r="212" spans="1:8" ht="18" customHeight="1" x14ac:dyDescent="0.15">
      <c r="A212" s="3" t="s">
        <v>1155</v>
      </c>
      <c r="B212" s="2"/>
      <c r="C212" s="2"/>
      <c r="D212" s="2"/>
      <c r="E212" s="2"/>
      <c r="F212" s="2"/>
      <c r="G212" s="2"/>
      <c r="H212" s="2"/>
    </row>
    <row r="213" spans="1:8" ht="18" customHeight="1" x14ac:dyDescent="0.15">
      <c r="A213" s="3" t="s">
        <v>2591</v>
      </c>
      <c r="B213" s="2"/>
      <c r="C213" s="2"/>
      <c r="D213" s="2"/>
      <c r="E213" s="2"/>
      <c r="F213" s="2"/>
      <c r="G213" s="2"/>
      <c r="H213" s="2"/>
    </row>
    <row r="214" spans="1:8" ht="18" customHeight="1" x14ac:dyDescent="0.15">
      <c r="A214" s="3" t="s">
        <v>1156</v>
      </c>
      <c r="B214" s="2"/>
      <c r="C214" s="2"/>
      <c r="D214" s="2"/>
      <c r="E214" s="2"/>
      <c r="F214" s="2"/>
      <c r="G214" s="2"/>
      <c r="H214" s="2"/>
    </row>
    <row r="215" spans="1:8" ht="18" customHeight="1" x14ac:dyDescent="0.15">
      <c r="A215" s="3" t="s">
        <v>2594</v>
      </c>
      <c r="B215" s="2"/>
      <c r="C215" s="2"/>
      <c r="D215" s="2"/>
      <c r="E215" s="2"/>
      <c r="F215" s="2"/>
      <c r="G215" s="2"/>
      <c r="H215" s="2"/>
    </row>
    <row r="216" spans="1:8" ht="24" x14ac:dyDescent="0.15">
      <c r="A216" s="230" t="s">
        <v>2590</v>
      </c>
      <c r="B216" s="230"/>
      <c r="C216" s="230"/>
      <c r="D216" s="230"/>
      <c r="E216" s="230"/>
      <c r="F216" s="230"/>
      <c r="G216" s="230"/>
      <c r="H216" s="230"/>
    </row>
    <row r="217" spans="1:8" ht="18" customHeight="1" x14ac:dyDescent="0.15">
      <c r="A217" s="231"/>
      <c r="B217" s="231"/>
      <c r="C217" s="231"/>
      <c r="D217" s="231"/>
      <c r="E217" s="231"/>
      <c r="F217" s="231"/>
      <c r="G217" s="231"/>
      <c r="H217" s="231"/>
    </row>
    <row r="218" spans="1:8" thickBot="1" x14ac:dyDescent="0.2">
      <c r="A218" s="58" t="s">
        <v>48</v>
      </c>
    </row>
    <row r="219" spans="1:8" ht="18" customHeight="1" x14ac:dyDescent="0.15">
      <c r="A219" s="232" t="s">
        <v>47</v>
      </c>
      <c r="B219" s="235" t="s">
        <v>46</v>
      </c>
      <c r="C219" s="238" t="s">
        <v>45</v>
      </c>
      <c r="D219" s="241" t="s">
        <v>44</v>
      </c>
      <c r="E219" s="198"/>
      <c r="F219" s="56"/>
      <c r="G219" s="56"/>
      <c r="H219" s="55"/>
    </row>
    <row r="220" spans="1:8" ht="18" customHeight="1" x14ac:dyDescent="0.15">
      <c r="A220" s="233"/>
      <c r="B220" s="236"/>
      <c r="C220" s="239"/>
      <c r="D220" s="242"/>
      <c r="E220" s="244" t="s">
        <v>43</v>
      </c>
      <c r="F220" s="246" t="s">
        <v>42</v>
      </c>
      <c r="G220" s="246" t="s">
        <v>41</v>
      </c>
      <c r="H220" s="248" t="s">
        <v>40</v>
      </c>
    </row>
    <row r="221" spans="1:8" ht="18" customHeight="1" thickBot="1" x14ac:dyDescent="0.2">
      <c r="A221" s="234"/>
      <c r="B221" s="237"/>
      <c r="C221" s="240"/>
      <c r="D221" s="243"/>
      <c r="E221" s="245"/>
      <c r="F221" s="247"/>
      <c r="G221" s="247"/>
      <c r="H221" s="249"/>
    </row>
    <row r="222" spans="1:8" s="60" customFormat="1" ht="18" customHeight="1" thickTop="1" x14ac:dyDescent="0.15">
      <c r="A222" s="199"/>
      <c r="B222" s="200"/>
      <c r="C222" s="52"/>
      <c r="D222" s="51" t="s">
        <v>39</v>
      </c>
      <c r="E222" s="50" t="s">
        <v>39</v>
      </c>
      <c r="F222" s="49" t="s">
        <v>39</v>
      </c>
      <c r="G222" s="49" t="s">
        <v>39</v>
      </c>
      <c r="H222" s="48" t="s">
        <v>39</v>
      </c>
    </row>
    <row r="223" spans="1:8" ht="21.75" customHeight="1" x14ac:dyDescent="0.15">
      <c r="A223" s="250" t="s">
        <v>38</v>
      </c>
      <c r="B223" s="61" t="s">
        <v>37</v>
      </c>
      <c r="C223" s="62">
        <v>4015</v>
      </c>
      <c r="D223" s="63">
        <f>QUOTIENT(839068125077201,1000000)</f>
        <v>839068125</v>
      </c>
      <c r="E223" s="63">
        <f>QUOTIENT(301773675155203,1000000)</f>
        <v>301773675</v>
      </c>
      <c r="F223" s="64">
        <f>QUOTIENT(273420833703590,1000000)</f>
        <v>273420833</v>
      </c>
      <c r="G223" s="64">
        <f>QUOTIENT(252564237913176,1000000)</f>
        <v>252564237</v>
      </c>
      <c r="H223" s="65">
        <f>QUOTIENT(11309378305230,1000000)</f>
        <v>11309378</v>
      </c>
    </row>
    <row r="224" spans="1:8" ht="21.75" customHeight="1" x14ac:dyDescent="0.15">
      <c r="A224" s="250"/>
      <c r="B224" s="66" t="s">
        <v>36</v>
      </c>
      <c r="C224" s="67">
        <v>13</v>
      </c>
      <c r="D224" s="68">
        <f>QUOTIENT(34596000,1000000)</f>
        <v>34</v>
      </c>
      <c r="E224" s="68">
        <f>QUOTIENT(34596000,1000000)</f>
        <v>34</v>
      </c>
      <c r="F224" s="69">
        <f t="shared" ref="F224:H225" si="8">QUOTIENT(0,1000000)</f>
        <v>0</v>
      </c>
      <c r="G224" s="69">
        <f t="shared" si="8"/>
        <v>0</v>
      </c>
      <c r="H224" s="70">
        <f t="shared" si="8"/>
        <v>0</v>
      </c>
    </row>
    <row r="225" spans="1:8" ht="21.75" customHeight="1" x14ac:dyDescent="0.15">
      <c r="A225" s="250"/>
      <c r="B225" s="66" t="s">
        <v>35</v>
      </c>
      <c r="C225" s="67">
        <v>110</v>
      </c>
      <c r="D225" s="68">
        <f>QUOTIENT(0,1000000)</f>
        <v>0</v>
      </c>
      <c r="E225" s="68">
        <f>QUOTIENT(0,1000000)</f>
        <v>0</v>
      </c>
      <c r="F225" s="69">
        <f t="shared" si="8"/>
        <v>0</v>
      </c>
      <c r="G225" s="69">
        <f t="shared" si="8"/>
        <v>0</v>
      </c>
      <c r="H225" s="70">
        <f t="shared" si="8"/>
        <v>0</v>
      </c>
    </row>
    <row r="226" spans="1:8" ht="21.75" customHeight="1" x14ac:dyDescent="0.15">
      <c r="A226" s="250"/>
      <c r="B226" s="71" t="s">
        <v>34</v>
      </c>
      <c r="C226" s="72">
        <v>1</v>
      </c>
      <c r="D226" s="73">
        <f>QUOTIENT(193202961600,1000000)</f>
        <v>193202</v>
      </c>
      <c r="E226" s="73">
        <f>QUOTIENT(145845154400,1000000)</f>
        <v>145845</v>
      </c>
      <c r="F226" s="74">
        <f>QUOTIENT(9265379200,1000000)</f>
        <v>9265</v>
      </c>
      <c r="G226" s="74">
        <f>QUOTIENT(35270039200,1000000)</f>
        <v>35270</v>
      </c>
      <c r="H226" s="75">
        <f>QUOTIENT(2822388800,1000000)</f>
        <v>2822</v>
      </c>
    </row>
    <row r="227" spans="1:8" ht="21.75" customHeight="1" x14ac:dyDescent="0.15">
      <c r="A227" s="250"/>
      <c r="B227" s="66" t="s">
        <v>33</v>
      </c>
      <c r="C227" s="67">
        <v>65</v>
      </c>
      <c r="D227" s="68">
        <f>QUOTIENT(15509063779800,1000000)</f>
        <v>15509063</v>
      </c>
      <c r="E227" s="68">
        <f>QUOTIENT(3862600855100,1000000)</f>
        <v>3862600</v>
      </c>
      <c r="F227" s="69">
        <f>QUOTIENT(4369394652650,1000000)</f>
        <v>4369394</v>
      </c>
      <c r="G227" s="69">
        <f>QUOTIENT(7121124467650,1000000)</f>
        <v>7121124</v>
      </c>
      <c r="H227" s="70">
        <f>QUOTIENT(155943804400,1000000)</f>
        <v>155943</v>
      </c>
    </row>
    <row r="228" spans="1:8" ht="21.75" customHeight="1" x14ac:dyDescent="0.15">
      <c r="A228" s="250"/>
      <c r="B228" s="76" t="s">
        <v>32</v>
      </c>
      <c r="C228" s="67">
        <v>278</v>
      </c>
      <c r="D228" s="68">
        <f>QUOTIENT(71403128002400,1000000)</f>
        <v>71403128</v>
      </c>
      <c r="E228" s="68">
        <f>QUOTIENT(5786640094973,1000000)</f>
        <v>5786640</v>
      </c>
      <c r="F228" s="69">
        <f>QUOTIENT(2587633168390,1000000)</f>
        <v>2587633</v>
      </c>
      <c r="G228" s="69">
        <f>QUOTIENT(62806991916226,1000000)</f>
        <v>62806991</v>
      </c>
      <c r="H228" s="70">
        <f>QUOTIENT(221862822809,1000000)</f>
        <v>221862</v>
      </c>
    </row>
    <row r="229" spans="1:8" ht="21.75" customHeight="1" x14ac:dyDescent="0.15">
      <c r="A229" s="251"/>
      <c r="B229" s="77" t="s">
        <v>31</v>
      </c>
      <c r="C229" s="72">
        <v>34</v>
      </c>
      <c r="D229" s="73">
        <f>QUOTIENT(525049524150,1000000)</f>
        <v>525049</v>
      </c>
      <c r="E229" s="73">
        <f>QUOTIENT(338475559720,1000000)</f>
        <v>338475</v>
      </c>
      <c r="F229" s="74">
        <f>QUOTIENT(8762783415,1000000)</f>
        <v>8762</v>
      </c>
      <c r="G229" s="74">
        <f>QUOTIENT(164635847567,1000000)</f>
        <v>164635</v>
      </c>
      <c r="H229" s="75">
        <f>QUOTIENT(13175333448,1000000)</f>
        <v>13175</v>
      </c>
    </row>
    <row r="230" spans="1:8" ht="21.75" customHeight="1" x14ac:dyDescent="0.15">
      <c r="A230" s="30" t="s">
        <v>30</v>
      </c>
      <c r="B230" s="78" t="s">
        <v>29</v>
      </c>
      <c r="C230" s="79">
        <v>27</v>
      </c>
      <c r="D230" s="80">
        <f>QUOTIENT(153066086564,1000000)</f>
        <v>153066</v>
      </c>
      <c r="E230" s="80">
        <f>QUOTIENT(136455382521,1000000)</f>
        <v>136455</v>
      </c>
      <c r="F230" s="81">
        <f>QUOTIENT(2939639826,1000000)</f>
        <v>2939</v>
      </c>
      <c r="G230" s="81">
        <f>QUOTIENT(322190000,1000000)</f>
        <v>322</v>
      </c>
      <c r="H230" s="82">
        <f>QUOTIENT(13348874216,1000000)</f>
        <v>13348</v>
      </c>
    </row>
    <row r="231" spans="1:8" ht="21.75" customHeight="1" x14ac:dyDescent="0.15">
      <c r="A231" s="252" t="s">
        <v>28</v>
      </c>
      <c r="B231" s="17" t="s">
        <v>27</v>
      </c>
      <c r="C231" s="16">
        <v>3542</v>
      </c>
      <c r="D231" s="83">
        <f>QUOTIENT(65314828570000,1000000)</f>
        <v>65314828</v>
      </c>
      <c r="E231" s="83">
        <f>QUOTIENT(10903398340000,1000000)</f>
        <v>10903398</v>
      </c>
      <c r="F231" s="84">
        <f>QUOTIENT(29137044830000,1000000)</f>
        <v>29137044</v>
      </c>
      <c r="G231" s="84">
        <f>QUOTIENT(25139853820000,1000000)</f>
        <v>25139853</v>
      </c>
      <c r="H231" s="85">
        <f>QUOTIENT(134531580000,1000000)</f>
        <v>134531</v>
      </c>
    </row>
    <row r="232" spans="1:8" ht="21.75" customHeight="1" x14ac:dyDescent="0.15">
      <c r="A232" s="250"/>
      <c r="B232" s="23" t="s">
        <v>26</v>
      </c>
      <c r="C232" s="22">
        <v>3459</v>
      </c>
      <c r="D232" s="86">
        <f>QUOTIENT(14972834757000,1000000)</f>
        <v>14972834</v>
      </c>
      <c r="E232" s="86">
        <f>QUOTIENT(490449636000,1000000)</f>
        <v>490449</v>
      </c>
      <c r="F232" s="87">
        <f>QUOTIENT(9862052091000,1000000)</f>
        <v>9862052</v>
      </c>
      <c r="G232" s="87">
        <f>QUOTIENT(4609396030000,1000000)</f>
        <v>4609396</v>
      </c>
      <c r="H232" s="88">
        <f>QUOTIENT(10937000000,1000000)</f>
        <v>10937</v>
      </c>
    </row>
    <row r="233" spans="1:8" ht="21.75" customHeight="1" x14ac:dyDescent="0.15">
      <c r="A233" s="250"/>
      <c r="B233" s="24" t="s">
        <v>25</v>
      </c>
      <c r="C233" s="22">
        <v>554</v>
      </c>
      <c r="D233" s="86">
        <f>QUOTIENT(18758900000000,1000000)</f>
        <v>18758900</v>
      </c>
      <c r="E233" s="86">
        <f>QUOTIENT(1321674600000,1000000)</f>
        <v>1321674</v>
      </c>
      <c r="F233" s="87">
        <f>QUOTIENT(7259894700000,1000000)</f>
        <v>7259894</v>
      </c>
      <c r="G233" s="87">
        <f>QUOTIENT(10133959700000,1000000)</f>
        <v>10133959</v>
      </c>
      <c r="H233" s="88">
        <f>QUOTIENT(43371000000,1000000)</f>
        <v>43371</v>
      </c>
    </row>
    <row r="234" spans="1:8" ht="21.75" customHeight="1" x14ac:dyDescent="0.15">
      <c r="A234" s="250"/>
      <c r="B234" s="23" t="s">
        <v>24</v>
      </c>
      <c r="C234" s="22">
        <v>2151</v>
      </c>
      <c r="D234" s="86">
        <f>QUOTIENT(54705100000000,1000000)</f>
        <v>54705100</v>
      </c>
      <c r="E234" s="86">
        <f>QUOTIENT(8035764680000,1000000)</f>
        <v>8035764</v>
      </c>
      <c r="F234" s="87">
        <f>QUOTIENT(19118595320000,1000000)</f>
        <v>19118595</v>
      </c>
      <c r="G234" s="87">
        <f>QUOTIENT(27540090000000,1000000)</f>
        <v>27540090</v>
      </c>
      <c r="H234" s="88">
        <f>QUOTIENT(10650000000,1000000)</f>
        <v>10650</v>
      </c>
    </row>
    <row r="235" spans="1:8" ht="21.75" customHeight="1" x14ac:dyDescent="0.15">
      <c r="A235" s="250"/>
      <c r="B235" s="23" t="s">
        <v>23</v>
      </c>
      <c r="C235" s="22">
        <v>527</v>
      </c>
      <c r="D235" s="86">
        <f>QUOTIENT(5241056000000,1000000)</f>
        <v>5241056</v>
      </c>
      <c r="E235" s="86">
        <f>QUOTIENT(288665000000,1000000)</f>
        <v>288665</v>
      </c>
      <c r="F235" s="87">
        <f>QUOTIENT(86576900000,1000000)</f>
        <v>86576</v>
      </c>
      <c r="G235" s="87">
        <f>QUOTIENT(4865814100000,1000000)</f>
        <v>4865814</v>
      </c>
      <c r="H235" s="88">
        <f>QUOTIENT(0,1000000)</f>
        <v>0</v>
      </c>
    </row>
    <row r="236" spans="1:8" ht="21.75" customHeight="1" x14ac:dyDescent="0.15">
      <c r="A236" s="250"/>
      <c r="B236" s="23" t="s">
        <v>22</v>
      </c>
      <c r="C236" s="22">
        <v>178</v>
      </c>
      <c r="D236" s="86">
        <f>QUOTIENT(1328900000000,1000000)</f>
        <v>1328900</v>
      </c>
      <c r="E236" s="86">
        <f>QUOTIENT(342270000000,1000000)</f>
        <v>342270</v>
      </c>
      <c r="F236" s="87">
        <f>QUOTIENT(472200000000,1000000)</f>
        <v>472200</v>
      </c>
      <c r="G236" s="87">
        <f>QUOTIENT(514430000000,1000000)</f>
        <v>514430</v>
      </c>
      <c r="H236" s="88">
        <f>QUOTIENT(0,1000000)</f>
        <v>0</v>
      </c>
    </row>
    <row r="237" spans="1:8" ht="21.75" customHeight="1" x14ac:dyDescent="0.15">
      <c r="A237" s="250"/>
      <c r="B237" s="23" t="s">
        <v>21</v>
      </c>
      <c r="C237" s="22">
        <v>19</v>
      </c>
      <c r="D237" s="86">
        <f>QUOTIENT(121410000000,1000000)</f>
        <v>121410</v>
      </c>
      <c r="E237" s="86">
        <f>QUOTIENT(108903000000,1000000)</f>
        <v>108903</v>
      </c>
      <c r="F237" s="87">
        <f>QUOTIENT(6220000000,1000000)</f>
        <v>6220</v>
      </c>
      <c r="G237" s="87">
        <f>QUOTIENT(6287000000,1000000)</f>
        <v>6287</v>
      </c>
      <c r="H237" s="88">
        <f>QUOTIENT(0,1000000)</f>
        <v>0</v>
      </c>
    </row>
    <row r="238" spans="1:8" ht="21.75" customHeight="1" x14ac:dyDescent="0.15">
      <c r="A238" s="250"/>
      <c r="B238" s="23" t="s">
        <v>20</v>
      </c>
      <c r="C238" s="22">
        <v>0</v>
      </c>
      <c r="D238" s="86">
        <f>QUOTIENT(0,1000000)</f>
        <v>0</v>
      </c>
      <c r="E238" s="86">
        <f>QUOTIENT(0,1000000)</f>
        <v>0</v>
      </c>
      <c r="F238" s="87">
        <f>QUOTIENT(0,1000000)</f>
        <v>0</v>
      </c>
      <c r="G238" s="87">
        <f>QUOTIENT(0,1000000)</f>
        <v>0</v>
      </c>
      <c r="H238" s="88">
        <f>QUOTIENT(0,1000000)</f>
        <v>0</v>
      </c>
    </row>
    <row r="239" spans="1:8" ht="21.75" customHeight="1" x14ac:dyDescent="0.15">
      <c r="A239" s="250"/>
      <c r="B239" s="23" t="s">
        <v>19</v>
      </c>
      <c r="C239" s="22">
        <v>201</v>
      </c>
      <c r="D239" s="86">
        <f>QUOTIENT(4733030000000,1000000)</f>
        <v>4733030</v>
      </c>
      <c r="E239" s="86">
        <f>QUOTIENT(467530000000,1000000)</f>
        <v>467530</v>
      </c>
      <c r="F239" s="87">
        <f>QUOTIENT(2237620000000,1000000)</f>
        <v>2237620</v>
      </c>
      <c r="G239" s="87">
        <f>QUOTIENT(1985670000000,1000000)</f>
        <v>1985670</v>
      </c>
      <c r="H239" s="88">
        <f>QUOTIENT(42210000000,1000000)</f>
        <v>42210</v>
      </c>
    </row>
    <row r="240" spans="1:8" ht="21.75" customHeight="1" x14ac:dyDescent="0.15">
      <c r="A240" s="250"/>
      <c r="B240" s="23" t="s">
        <v>18</v>
      </c>
      <c r="C240" s="22">
        <v>4154</v>
      </c>
      <c r="D240" s="86">
        <f>QUOTIENT(90458974000000,1000000)</f>
        <v>90458974</v>
      </c>
      <c r="E240" s="86">
        <f>QUOTIENT(23914306100000,1000000)</f>
        <v>23914306</v>
      </c>
      <c r="F240" s="87">
        <f>QUOTIENT(29351575100000,1000000)</f>
        <v>29351575</v>
      </c>
      <c r="G240" s="87">
        <f>QUOTIENT(36541564100000,1000000)</f>
        <v>36541564</v>
      </c>
      <c r="H240" s="88">
        <f>QUOTIENT(651528700000,1000000)</f>
        <v>651528</v>
      </c>
    </row>
    <row r="241" spans="1:8" ht="21.75" customHeight="1" x14ac:dyDescent="0.15">
      <c r="A241" s="250"/>
      <c r="B241" s="23" t="s">
        <v>17</v>
      </c>
      <c r="C241" s="22">
        <v>813</v>
      </c>
      <c r="D241" s="86">
        <f>QUOTIENT(18619460000000,1000000)</f>
        <v>18619460</v>
      </c>
      <c r="E241" s="86">
        <f>QUOTIENT(4971601200000,1000000)</f>
        <v>4971601</v>
      </c>
      <c r="F241" s="87">
        <f>QUOTIENT(6005261800000,1000000)</f>
        <v>6005261</v>
      </c>
      <c r="G241" s="87">
        <f>QUOTIENT(7563190000000,1000000)</f>
        <v>7563190</v>
      </c>
      <c r="H241" s="88">
        <f>QUOTIENT(79407000000,1000000)</f>
        <v>79407</v>
      </c>
    </row>
    <row r="242" spans="1:8" ht="21.75" customHeight="1" x14ac:dyDescent="0.15">
      <c r="A242" s="250"/>
      <c r="B242" s="23" t="s">
        <v>16</v>
      </c>
      <c r="C242" s="22">
        <v>62485</v>
      </c>
      <c r="D242" s="86">
        <f>QUOTIENT(14873062040000,1000000)</f>
        <v>14873062</v>
      </c>
      <c r="E242" s="86">
        <f>QUOTIENT(3971284866000,1000000)</f>
        <v>3971284</v>
      </c>
      <c r="F242" s="87">
        <f>QUOTIENT(4618752064000,1000000)</f>
        <v>4618752</v>
      </c>
      <c r="G242" s="87">
        <f>QUOTIENT(6255267210000,1000000)</f>
        <v>6255267</v>
      </c>
      <c r="H242" s="88">
        <f>QUOTIENT(27757900000,1000000)</f>
        <v>27757</v>
      </c>
    </row>
    <row r="243" spans="1:8" ht="21.75" customHeight="1" x14ac:dyDescent="0.15">
      <c r="A243" s="250"/>
      <c r="B243" s="23" t="s">
        <v>15</v>
      </c>
      <c r="C243" s="22">
        <v>431</v>
      </c>
      <c r="D243" s="86">
        <f>QUOTIENT(3486368540000,1000000)</f>
        <v>3486368</v>
      </c>
      <c r="E243" s="86">
        <f>QUOTIENT(2957311266000,1000000)</f>
        <v>2957311</v>
      </c>
      <c r="F243" s="87">
        <f>QUOTIENT(463080784000,1000000)</f>
        <v>463080</v>
      </c>
      <c r="G243" s="87">
        <f>QUOTIENT(65731490000,1000000)</f>
        <v>65731</v>
      </c>
      <c r="H243" s="88">
        <f>QUOTIENT(245000000,1000000)</f>
        <v>245</v>
      </c>
    </row>
    <row r="244" spans="1:8" ht="21.75" customHeight="1" x14ac:dyDescent="0.15">
      <c r="A244" s="250"/>
      <c r="B244" s="23" t="s">
        <v>14</v>
      </c>
      <c r="C244" s="22">
        <v>31</v>
      </c>
      <c r="D244" s="86">
        <f>QUOTIENT(89700000000,1000000)</f>
        <v>89700</v>
      </c>
      <c r="E244" s="86">
        <f>QUOTIENT(18300000000,1000000)</f>
        <v>18300</v>
      </c>
      <c r="F244" s="87">
        <f>QUOTIENT(51800000000,1000000)</f>
        <v>51800</v>
      </c>
      <c r="G244" s="87">
        <f>QUOTIENT(19600000000,1000000)</f>
        <v>19600</v>
      </c>
      <c r="H244" s="88">
        <f>QUOTIENT(0,1000000)</f>
        <v>0</v>
      </c>
    </row>
    <row r="245" spans="1:8" ht="21.75" customHeight="1" x14ac:dyDescent="0.15">
      <c r="A245" s="250"/>
      <c r="B245" s="23" t="s">
        <v>13</v>
      </c>
      <c r="C245" s="22">
        <v>852</v>
      </c>
      <c r="D245" s="86">
        <f>QUOTIENT(3021141916000,1000000)</f>
        <v>3021141</v>
      </c>
      <c r="E245" s="86">
        <f>QUOTIENT(114974340000,1000000)</f>
        <v>114974</v>
      </c>
      <c r="F245" s="87">
        <f>QUOTIENT(1669345226000,1000000)</f>
        <v>1669345</v>
      </c>
      <c r="G245" s="87">
        <f>QUOTIENT(1236722350000,1000000)</f>
        <v>1236722</v>
      </c>
      <c r="H245" s="88">
        <f>QUOTIENT(100000000,1000000)</f>
        <v>100</v>
      </c>
    </row>
    <row r="246" spans="1:8" ht="21.75" customHeight="1" x14ac:dyDescent="0.15">
      <c r="A246" s="250"/>
      <c r="B246" s="23" t="s">
        <v>12</v>
      </c>
      <c r="C246" s="22">
        <v>290</v>
      </c>
      <c r="D246" s="86">
        <f>QUOTIENT(6762000000000,1000000)</f>
        <v>6762000</v>
      </c>
      <c r="E246" s="86">
        <f>QUOTIENT(1124486000000,1000000)</f>
        <v>1124486</v>
      </c>
      <c r="F246" s="87">
        <f>QUOTIENT(2054542000000,1000000)</f>
        <v>2054542</v>
      </c>
      <c r="G246" s="87">
        <f>QUOTIENT(3558162000000,1000000)</f>
        <v>3558162</v>
      </c>
      <c r="H246" s="88">
        <f>QUOTIENT(24810000000,1000000)</f>
        <v>24810</v>
      </c>
    </row>
    <row r="247" spans="1:8" ht="21.75" customHeight="1" x14ac:dyDescent="0.15">
      <c r="A247" s="250"/>
      <c r="B247" s="23" t="s">
        <v>11</v>
      </c>
      <c r="C247" s="22">
        <v>63</v>
      </c>
      <c r="D247" s="86">
        <f>QUOTIENT(1245050000000,1000000)</f>
        <v>1245050</v>
      </c>
      <c r="E247" s="86">
        <f>QUOTIENT(125800000000,1000000)</f>
        <v>125800</v>
      </c>
      <c r="F247" s="87">
        <f>QUOTIENT(512650000000,1000000)</f>
        <v>512650</v>
      </c>
      <c r="G247" s="87">
        <f>QUOTIENT(606600000000,1000000)</f>
        <v>606600</v>
      </c>
      <c r="H247" s="88">
        <f>QUOTIENT(0,1000000)</f>
        <v>0</v>
      </c>
    </row>
    <row r="248" spans="1:8" ht="21.75" customHeight="1" x14ac:dyDescent="0.15">
      <c r="A248" s="250"/>
      <c r="B248" s="23" t="s">
        <v>10</v>
      </c>
      <c r="C248" s="22">
        <v>0</v>
      </c>
      <c r="D248" s="86">
        <f t="shared" ref="D248:G250" si="9">QUOTIENT(0,1000000)</f>
        <v>0</v>
      </c>
      <c r="E248" s="86">
        <f t="shared" si="9"/>
        <v>0</v>
      </c>
      <c r="F248" s="87">
        <f t="shared" si="9"/>
        <v>0</v>
      </c>
      <c r="G248" s="87">
        <f t="shared" si="9"/>
        <v>0</v>
      </c>
      <c r="H248" s="88">
        <f>QUOTIENT(0,1000000)</f>
        <v>0</v>
      </c>
    </row>
    <row r="249" spans="1:8" ht="21.75" customHeight="1" x14ac:dyDescent="0.15">
      <c r="A249" s="250"/>
      <c r="B249" s="23" t="s">
        <v>9</v>
      </c>
      <c r="C249" s="22">
        <v>0</v>
      </c>
      <c r="D249" s="86">
        <f t="shared" si="9"/>
        <v>0</v>
      </c>
      <c r="E249" s="86">
        <f t="shared" si="9"/>
        <v>0</v>
      </c>
      <c r="F249" s="87">
        <f t="shared" si="9"/>
        <v>0</v>
      </c>
      <c r="G249" s="87">
        <f t="shared" si="9"/>
        <v>0</v>
      </c>
      <c r="H249" s="88">
        <f>QUOTIENT(0,1000000)</f>
        <v>0</v>
      </c>
    </row>
    <row r="250" spans="1:8" ht="21.75" customHeight="1" x14ac:dyDescent="0.15">
      <c r="A250" s="250"/>
      <c r="B250" s="23" t="s">
        <v>8</v>
      </c>
      <c r="C250" s="22">
        <v>0</v>
      </c>
      <c r="D250" s="86">
        <f t="shared" si="9"/>
        <v>0</v>
      </c>
      <c r="E250" s="86">
        <f t="shared" si="9"/>
        <v>0</v>
      </c>
      <c r="F250" s="87">
        <f t="shared" si="9"/>
        <v>0</v>
      </c>
      <c r="G250" s="87">
        <f t="shared" si="9"/>
        <v>0</v>
      </c>
      <c r="H250" s="88">
        <f>QUOTIENT(0,1000000)</f>
        <v>0</v>
      </c>
    </row>
    <row r="251" spans="1:8" ht="21.75" customHeight="1" x14ac:dyDescent="0.15">
      <c r="A251" s="251"/>
      <c r="B251" s="23" t="s">
        <v>7</v>
      </c>
      <c r="C251" s="22">
        <v>97</v>
      </c>
      <c r="D251" s="86">
        <f>QUOTIENT(7780000000,1000000)</f>
        <v>7780</v>
      </c>
      <c r="E251" s="86">
        <f>QUOTIENT(0,1000000)</f>
        <v>0</v>
      </c>
      <c r="F251" s="87">
        <f>QUOTIENT(0,1000000)</f>
        <v>0</v>
      </c>
      <c r="G251" s="87">
        <f>QUOTIENT(7780000000,1000000)</f>
        <v>7780</v>
      </c>
      <c r="H251" s="88">
        <f>QUOTIENT(0,1000000)</f>
        <v>0</v>
      </c>
    </row>
    <row r="252" spans="1:8" ht="21.75" customHeight="1" x14ac:dyDescent="0.15">
      <c r="A252" s="18" t="s">
        <v>6</v>
      </c>
      <c r="B252" s="17" t="s">
        <v>5</v>
      </c>
      <c r="C252" s="16">
        <v>3213</v>
      </c>
      <c r="D252" s="80">
        <v>25894743</v>
      </c>
      <c r="E252" s="80">
        <v>890700</v>
      </c>
      <c r="F252" s="81">
        <v>11771346</v>
      </c>
      <c r="G252" s="81">
        <v>10449095</v>
      </c>
      <c r="H252" s="82">
        <v>2783602</v>
      </c>
    </row>
    <row r="253" spans="1:8" ht="21.75" customHeight="1" x14ac:dyDescent="0.15">
      <c r="A253" s="252" t="s">
        <v>4</v>
      </c>
      <c r="B253" s="12" t="s">
        <v>3</v>
      </c>
      <c r="C253" s="11">
        <v>5631</v>
      </c>
      <c r="D253" s="89">
        <f>QUOTIENT(113581888011731,1000000)</f>
        <v>113581888</v>
      </c>
      <c r="E253" s="89">
        <f>QUOTIENT(71960165866623,1000000)</f>
        <v>71960165</v>
      </c>
      <c r="F253" s="90">
        <f>QUOTIENT(19151635080041,1000000)</f>
        <v>19151635</v>
      </c>
      <c r="G253" s="90">
        <f>QUOTIENT(13259370864981,1000000)</f>
        <v>13259370</v>
      </c>
      <c r="H253" s="91">
        <f>QUOTIENT(9210716200086,1000000)</f>
        <v>9210716</v>
      </c>
    </row>
    <row r="254" spans="1:8" ht="21.75" customHeight="1" thickBot="1" x14ac:dyDescent="0.2">
      <c r="A254" s="253"/>
      <c r="B254" s="7" t="s">
        <v>1153</v>
      </c>
      <c r="C254" s="6">
        <v>8454</v>
      </c>
      <c r="D254" s="92" t="s">
        <v>2178</v>
      </c>
      <c r="E254" s="92" t="s">
        <v>2178</v>
      </c>
      <c r="F254" s="92" t="s">
        <v>2178</v>
      </c>
      <c r="G254" s="92" t="s">
        <v>2178</v>
      </c>
      <c r="H254" s="93" t="s">
        <v>2178</v>
      </c>
    </row>
    <row r="255" spans="1:8" ht="18" customHeight="1" x14ac:dyDescent="0.15">
      <c r="A255" s="3" t="s">
        <v>1155</v>
      </c>
      <c r="B255" s="2"/>
      <c r="C255" s="2"/>
      <c r="D255" s="2"/>
      <c r="E255" s="2"/>
      <c r="F255" s="2"/>
      <c r="G255" s="2"/>
      <c r="H255" s="2"/>
    </row>
    <row r="256" spans="1:8" ht="18" customHeight="1" x14ac:dyDescent="0.15">
      <c r="A256" s="3" t="s">
        <v>2591</v>
      </c>
      <c r="B256" s="2"/>
      <c r="C256" s="2"/>
      <c r="D256" s="2"/>
      <c r="E256" s="2"/>
      <c r="F256" s="2"/>
      <c r="G256" s="2"/>
      <c r="H256" s="2"/>
    </row>
    <row r="257" spans="1:8" ht="18" customHeight="1" x14ac:dyDescent="0.15">
      <c r="A257" s="3" t="s">
        <v>1156</v>
      </c>
      <c r="B257" s="2"/>
      <c r="C257" s="2"/>
      <c r="D257" s="2"/>
      <c r="E257" s="2"/>
      <c r="F257" s="2"/>
      <c r="G257" s="2"/>
      <c r="H257" s="2"/>
    </row>
    <row r="258" spans="1:8" ht="18" customHeight="1" x14ac:dyDescent="0.15">
      <c r="A258" s="3" t="s">
        <v>2592</v>
      </c>
      <c r="B258" s="2"/>
      <c r="C258" s="2"/>
      <c r="D258" s="2"/>
      <c r="E258" s="2"/>
      <c r="F258" s="2"/>
      <c r="G258" s="2"/>
      <c r="H258" s="2"/>
    </row>
    <row r="259" spans="1:8" ht="24" x14ac:dyDescent="0.15">
      <c r="A259" s="230" t="s">
        <v>2588</v>
      </c>
      <c r="B259" s="230"/>
      <c r="C259" s="230"/>
      <c r="D259" s="230"/>
      <c r="E259" s="230"/>
      <c r="F259" s="230"/>
      <c r="G259" s="230"/>
      <c r="H259" s="230"/>
    </row>
    <row r="260" spans="1:8" ht="18" customHeight="1" x14ac:dyDescent="0.15">
      <c r="A260" s="231"/>
      <c r="B260" s="231"/>
      <c r="C260" s="231"/>
      <c r="D260" s="231"/>
      <c r="E260" s="231"/>
      <c r="F260" s="231"/>
      <c r="G260" s="231"/>
      <c r="H260" s="231"/>
    </row>
    <row r="261" spans="1:8" thickBot="1" x14ac:dyDescent="0.2">
      <c r="A261" s="58" t="s">
        <v>48</v>
      </c>
    </row>
    <row r="262" spans="1:8" ht="18" customHeight="1" x14ac:dyDescent="0.15">
      <c r="A262" s="232" t="s">
        <v>47</v>
      </c>
      <c r="B262" s="235" t="s">
        <v>46</v>
      </c>
      <c r="C262" s="238" t="s">
        <v>45</v>
      </c>
      <c r="D262" s="241" t="s">
        <v>44</v>
      </c>
      <c r="E262" s="195"/>
      <c r="F262" s="56"/>
      <c r="G262" s="56"/>
      <c r="H262" s="55"/>
    </row>
    <row r="263" spans="1:8" ht="18" customHeight="1" x14ac:dyDescent="0.15">
      <c r="A263" s="233"/>
      <c r="B263" s="236"/>
      <c r="C263" s="239"/>
      <c r="D263" s="242"/>
      <c r="E263" s="244" t="s">
        <v>43</v>
      </c>
      <c r="F263" s="246" t="s">
        <v>42</v>
      </c>
      <c r="G263" s="246" t="s">
        <v>41</v>
      </c>
      <c r="H263" s="248" t="s">
        <v>40</v>
      </c>
    </row>
    <row r="264" spans="1:8" ht="18" customHeight="1" thickBot="1" x14ac:dyDescent="0.2">
      <c r="A264" s="234"/>
      <c r="B264" s="237"/>
      <c r="C264" s="240"/>
      <c r="D264" s="243"/>
      <c r="E264" s="245"/>
      <c r="F264" s="247"/>
      <c r="G264" s="247"/>
      <c r="H264" s="249"/>
    </row>
    <row r="265" spans="1:8" s="60" customFormat="1" ht="18" customHeight="1" thickTop="1" x14ac:dyDescent="0.15">
      <c r="A265" s="196"/>
      <c r="B265" s="197"/>
      <c r="C265" s="52"/>
      <c r="D265" s="51" t="s">
        <v>39</v>
      </c>
      <c r="E265" s="50" t="s">
        <v>39</v>
      </c>
      <c r="F265" s="49" t="s">
        <v>39</v>
      </c>
      <c r="G265" s="49" t="s">
        <v>39</v>
      </c>
      <c r="H265" s="48" t="s">
        <v>39</v>
      </c>
    </row>
    <row r="266" spans="1:8" ht="21.75" customHeight="1" x14ac:dyDescent="0.15">
      <c r="A266" s="250" t="s">
        <v>38</v>
      </c>
      <c r="B266" s="61" t="s">
        <v>37</v>
      </c>
      <c r="C266" s="62">
        <v>4009</v>
      </c>
      <c r="D266" s="63">
        <f>QUOTIENT(841578404559991,1000000)</f>
        <v>841578404</v>
      </c>
      <c r="E266" s="63">
        <f>QUOTIENT(312541821923404,1000000)</f>
        <v>312541821</v>
      </c>
      <c r="F266" s="64">
        <f>QUOTIENT(263088597103584,1000000)</f>
        <v>263088597</v>
      </c>
      <c r="G266" s="64">
        <f>QUOTIENT(252705708834831,1000000)</f>
        <v>252705708</v>
      </c>
      <c r="H266" s="65">
        <f>QUOTIENT(13242276698171,1000000)</f>
        <v>13242276</v>
      </c>
    </row>
    <row r="267" spans="1:8" ht="21.75" customHeight="1" x14ac:dyDescent="0.15">
      <c r="A267" s="250"/>
      <c r="B267" s="66" t="s">
        <v>36</v>
      </c>
      <c r="C267" s="67">
        <v>12</v>
      </c>
      <c r="D267" s="68">
        <f>QUOTIENT(34596000,1000000)</f>
        <v>34</v>
      </c>
      <c r="E267" s="68">
        <f>QUOTIENT(34596000,1000000)</f>
        <v>34</v>
      </c>
      <c r="F267" s="69">
        <f t="shared" ref="F267:H268" si="10">QUOTIENT(0,1000000)</f>
        <v>0</v>
      </c>
      <c r="G267" s="69">
        <f t="shared" si="10"/>
        <v>0</v>
      </c>
      <c r="H267" s="70">
        <f t="shared" si="10"/>
        <v>0</v>
      </c>
    </row>
    <row r="268" spans="1:8" ht="21.75" customHeight="1" x14ac:dyDescent="0.15">
      <c r="A268" s="250"/>
      <c r="B268" s="66" t="s">
        <v>35</v>
      </c>
      <c r="C268" s="67">
        <v>112</v>
      </c>
      <c r="D268" s="68">
        <f>QUOTIENT(0,1000000)</f>
        <v>0</v>
      </c>
      <c r="E268" s="68">
        <f>QUOTIENT(0,1000000)</f>
        <v>0</v>
      </c>
      <c r="F268" s="69">
        <f t="shared" si="10"/>
        <v>0</v>
      </c>
      <c r="G268" s="69">
        <f t="shared" si="10"/>
        <v>0</v>
      </c>
      <c r="H268" s="70">
        <f t="shared" si="10"/>
        <v>0</v>
      </c>
    </row>
    <row r="269" spans="1:8" ht="21.75" customHeight="1" x14ac:dyDescent="0.15">
      <c r="A269" s="250"/>
      <c r="B269" s="71" t="s">
        <v>34</v>
      </c>
      <c r="C269" s="72">
        <v>1</v>
      </c>
      <c r="D269" s="73">
        <f>QUOTIENT(196035849600,1000000)</f>
        <v>196035</v>
      </c>
      <c r="E269" s="73">
        <f>QUOTIENT(147876524800,1000000)</f>
        <v>147876</v>
      </c>
      <c r="F269" s="74">
        <f>QUOTIENT(9505035200,1000000)</f>
        <v>9505</v>
      </c>
      <c r="G269" s="74">
        <f>QUOTIENT(35789132800,1000000)</f>
        <v>35789</v>
      </c>
      <c r="H269" s="75">
        <f>QUOTIENT(2865156800,1000000)</f>
        <v>2865</v>
      </c>
    </row>
    <row r="270" spans="1:8" ht="21.75" customHeight="1" x14ac:dyDescent="0.15">
      <c r="A270" s="250"/>
      <c r="B270" s="66" t="s">
        <v>33</v>
      </c>
      <c r="C270" s="67">
        <v>65</v>
      </c>
      <c r="D270" s="68">
        <f>QUOTIENT(15975497081200,1000000)</f>
        <v>15975497</v>
      </c>
      <c r="E270" s="68">
        <f>QUOTIENT(3852424160200,1000000)</f>
        <v>3852424</v>
      </c>
      <c r="F270" s="69">
        <f>QUOTIENT(4576159197600,1000000)</f>
        <v>4576159</v>
      </c>
      <c r="G270" s="69">
        <f>QUOTIENT(7385355025100,1000000)</f>
        <v>7385355</v>
      </c>
      <c r="H270" s="70">
        <f>QUOTIENT(161558698300,1000000)</f>
        <v>161558</v>
      </c>
    </row>
    <row r="271" spans="1:8" ht="21.75" customHeight="1" x14ac:dyDescent="0.15">
      <c r="A271" s="250"/>
      <c r="B271" s="76" t="s">
        <v>32</v>
      </c>
      <c r="C271" s="67">
        <v>272</v>
      </c>
      <c r="D271" s="68">
        <f>QUOTIENT(73182833754715,1000000)</f>
        <v>73182833</v>
      </c>
      <c r="E271" s="68">
        <f>QUOTIENT(5529087728930,1000000)</f>
        <v>5529087</v>
      </c>
      <c r="F271" s="69">
        <f>QUOTIENT(2847100545310,1000000)</f>
        <v>2847100</v>
      </c>
      <c r="G271" s="69">
        <f>QUOTIENT(64595697819967,1000000)</f>
        <v>64595697</v>
      </c>
      <c r="H271" s="70">
        <f>QUOTIENT(210947660507,1000000)</f>
        <v>210947</v>
      </c>
    </row>
    <row r="272" spans="1:8" ht="21.75" customHeight="1" x14ac:dyDescent="0.15">
      <c r="A272" s="251"/>
      <c r="B272" s="77" t="s">
        <v>31</v>
      </c>
      <c r="C272" s="72">
        <v>34</v>
      </c>
      <c r="D272" s="73">
        <f>QUOTIENT(529955143627,1000000)</f>
        <v>529955</v>
      </c>
      <c r="E272" s="73">
        <f>QUOTIENT(355308669753,1000000)</f>
        <v>355308</v>
      </c>
      <c r="F272" s="74">
        <f>QUOTIENT(10325525862,1000000)</f>
        <v>10325</v>
      </c>
      <c r="G272" s="74">
        <f>QUOTIENT(150865695024,1000000)</f>
        <v>150865</v>
      </c>
      <c r="H272" s="75">
        <f>QUOTIENT(13455252988,1000000)</f>
        <v>13455</v>
      </c>
    </row>
    <row r="273" spans="1:8" ht="21.75" customHeight="1" x14ac:dyDescent="0.15">
      <c r="A273" s="30" t="s">
        <v>30</v>
      </c>
      <c r="B273" s="78" t="s">
        <v>29</v>
      </c>
      <c r="C273" s="79">
        <v>27</v>
      </c>
      <c r="D273" s="80">
        <f>QUOTIENT(152992971120,1000000)</f>
        <v>152992</v>
      </c>
      <c r="E273" s="80">
        <f>QUOTIENT(136151085377,1000000)</f>
        <v>136151</v>
      </c>
      <c r="F273" s="81">
        <f>QUOTIENT(3128237880,1000000)</f>
        <v>3128</v>
      </c>
      <c r="G273" s="81">
        <f>QUOTIENT(299860000,1000000)</f>
        <v>299</v>
      </c>
      <c r="H273" s="82">
        <f>QUOTIENT(13413787863,1000000)</f>
        <v>13413</v>
      </c>
    </row>
    <row r="274" spans="1:8" ht="21.75" customHeight="1" x14ac:dyDescent="0.15">
      <c r="A274" s="252" t="s">
        <v>28</v>
      </c>
      <c r="B274" s="17" t="s">
        <v>27</v>
      </c>
      <c r="C274" s="16">
        <v>3519</v>
      </c>
      <c r="D274" s="83">
        <f>QUOTIENT(65147078570000,1000000)</f>
        <v>65147078</v>
      </c>
      <c r="E274" s="83">
        <f>QUOTIENT(10832768030000,1000000)</f>
        <v>10832768</v>
      </c>
      <c r="F274" s="84">
        <f>QUOTIENT(28965259310000,1000000)</f>
        <v>28965259</v>
      </c>
      <c r="G274" s="84">
        <f>QUOTIENT(25220174650000,1000000)</f>
        <v>25220174</v>
      </c>
      <c r="H274" s="85">
        <f>QUOTIENT(128876580000,1000000)</f>
        <v>128876</v>
      </c>
    </row>
    <row r="275" spans="1:8" ht="21.75" customHeight="1" x14ac:dyDescent="0.15">
      <c r="A275" s="250"/>
      <c r="B275" s="23" t="s">
        <v>26</v>
      </c>
      <c r="C275" s="22">
        <v>3466</v>
      </c>
      <c r="D275" s="86">
        <f>QUOTIENT(15033407407000,1000000)</f>
        <v>15033407</v>
      </c>
      <c r="E275" s="86">
        <f>QUOTIENT(497482636000,1000000)</f>
        <v>497482</v>
      </c>
      <c r="F275" s="87">
        <f>QUOTIENT(9899131091000,1000000)</f>
        <v>9899131</v>
      </c>
      <c r="G275" s="87">
        <f>QUOTIENT(4625856680000,1000000)</f>
        <v>4625856</v>
      </c>
      <c r="H275" s="88">
        <f>QUOTIENT(10937000000,1000000)</f>
        <v>10937</v>
      </c>
    </row>
    <row r="276" spans="1:8" ht="21.75" customHeight="1" x14ac:dyDescent="0.15">
      <c r="A276" s="250"/>
      <c r="B276" s="24" t="s">
        <v>25</v>
      </c>
      <c r="C276" s="22">
        <v>554</v>
      </c>
      <c r="D276" s="86">
        <f>QUOTIENT(18868900000000,1000000)</f>
        <v>18868900</v>
      </c>
      <c r="E276" s="86">
        <f>QUOTIENT(1352040600000,1000000)</f>
        <v>1352040</v>
      </c>
      <c r="F276" s="87">
        <f>QUOTIENT(7357864700000,1000000)</f>
        <v>7357864</v>
      </c>
      <c r="G276" s="87">
        <f>QUOTIENT(10118825700000,1000000)</f>
        <v>10118825</v>
      </c>
      <c r="H276" s="88">
        <f>QUOTIENT(40169000000,1000000)</f>
        <v>40169</v>
      </c>
    </row>
    <row r="277" spans="1:8" ht="21.75" customHeight="1" x14ac:dyDescent="0.15">
      <c r="A277" s="250"/>
      <c r="B277" s="23" t="s">
        <v>24</v>
      </c>
      <c r="C277" s="22">
        <v>2149</v>
      </c>
      <c r="D277" s="86">
        <f>QUOTIENT(55681900000000,1000000)</f>
        <v>55681900</v>
      </c>
      <c r="E277" s="86">
        <f>QUOTIENT(7956024680000,1000000)</f>
        <v>7956024</v>
      </c>
      <c r="F277" s="87">
        <f>QUOTIENT(19332045320000,1000000)</f>
        <v>19332045</v>
      </c>
      <c r="G277" s="87">
        <f>QUOTIENT(28383180000000,1000000)</f>
        <v>28383180</v>
      </c>
      <c r="H277" s="88">
        <f>QUOTIENT(10650000000,1000000)</f>
        <v>10650</v>
      </c>
    </row>
    <row r="278" spans="1:8" ht="21.75" customHeight="1" x14ac:dyDescent="0.15">
      <c r="A278" s="250"/>
      <c r="B278" s="23" t="s">
        <v>23</v>
      </c>
      <c r="C278" s="22">
        <v>526</v>
      </c>
      <c r="D278" s="86">
        <f>QUOTIENT(5241556000000,1000000)</f>
        <v>5241556</v>
      </c>
      <c r="E278" s="86">
        <f>QUOTIENT(303479000000,1000000)</f>
        <v>303479</v>
      </c>
      <c r="F278" s="87">
        <f>QUOTIENT(86576900000,1000000)</f>
        <v>86576</v>
      </c>
      <c r="G278" s="87">
        <f>QUOTIENT(4851500100000,1000000)</f>
        <v>4851500</v>
      </c>
      <c r="H278" s="88">
        <f>QUOTIENT(0,1000000)</f>
        <v>0</v>
      </c>
    </row>
    <row r="279" spans="1:8" ht="21.75" customHeight="1" x14ac:dyDescent="0.15">
      <c r="A279" s="250"/>
      <c r="B279" s="23" t="s">
        <v>22</v>
      </c>
      <c r="C279" s="22">
        <v>178</v>
      </c>
      <c r="D279" s="86">
        <f>QUOTIENT(1328900000000,1000000)</f>
        <v>1328900</v>
      </c>
      <c r="E279" s="86">
        <f>QUOTIENT(340270000000,1000000)</f>
        <v>340270</v>
      </c>
      <c r="F279" s="87">
        <f>QUOTIENT(473500000000,1000000)</f>
        <v>473500</v>
      </c>
      <c r="G279" s="87">
        <f>QUOTIENT(515130000000,1000000)</f>
        <v>515130</v>
      </c>
      <c r="H279" s="88">
        <f>QUOTIENT(0,1000000)</f>
        <v>0</v>
      </c>
    </row>
    <row r="280" spans="1:8" ht="21.75" customHeight="1" x14ac:dyDescent="0.15">
      <c r="A280" s="250"/>
      <c r="B280" s="23" t="s">
        <v>21</v>
      </c>
      <c r="C280" s="22">
        <v>19</v>
      </c>
      <c r="D280" s="86">
        <f>QUOTIENT(121410000000,1000000)</f>
        <v>121410</v>
      </c>
      <c r="E280" s="86">
        <f>QUOTIENT(108903000000,1000000)</f>
        <v>108903</v>
      </c>
      <c r="F280" s="87">
        <f>QUOTIENT(6220000000,1000000)</f>
        <v>6220</v>
      </c>
      <c r="G280" s="87">
        <f>QUOTIENT(6287000000,1000000)</f>
        <v>6287</v>
      </c>
      <c r="H280" s="88">
        <f>QUOTIENT(0,1000000)</f>
        <v>0</v>
      </c>
    </row>
    <row r="281" spans="1:8" ht="21.75" customHeight="1" x14ac:dyDescent="0.15">
      <c r="A281" s="250"/>
      <c r="B281" s="23" t="s">
        <v>20</v>
      </c>
      <c r="C281" s="22">
        <v>0</v>
      </c>
      <c r="D281" s="86">
        <f>QUOTIENT(0,1000000)</f>
        <v>0</v>
      </c>
      <c r="E281" s="86">
        <f>QUOTIENT(0,1000000)</f>
        <v>0</v>
      </c>
      <c r="F281" s="87">
        <f>QUOTIENT(0,1000000)</f>
        <v>0</v>
      </c>
      <c r="G281" s="87">
        <f>QUOTIENT(0,1000000)</f>
        <v>0</v>
      </c>
      <c r="H281" s="88">
        <f>QUOTIENT(0,1000000)</f>
        <v>0</v>
      </c>
    </row>
    <row r="282" spans="1:8" ht="21.75" customHeight="1" x14ac:dyDescent="0.15">
      <c r="A282" s="250"/>
      <c r="B282" s="23" t="s">
        <v>19</v>
      </c>
      <c r="C282" s="22">
        <v>202</v>
      </c>
      <c r="D282" s="86">
        <f>QUOTIENT(4781660000000,1000000)</f>
        <v>4781660</v>
      </c>
      <c r="E282" s="86">
        <f>QUOTIENT(474640000000,1000000)</f>
        <v>474640</v>
      </c>
      <c r="F282" s="87">
        <f>QUOTIENT(2601700000000,1000000)</f>
        <v>2601700</v>
      </c>
      <c r="G282" s="87">
        <f>QUOTIENT(1661810000000,1000000)</f>
        <v>1661810</v>
      </c>
      <c r="H282" s="88">
        <f>QUOTIENT(43510000000,1000000)</f>
        <v>43510</v>
      </c>
    </row>
    <row r="283" spans="1:8" ht="21.75" customHeight="1" x14ac:dyDescent="0.15">
      <c r="A283" s="250"/>
      <c r="B283" s="23" t="s">
        <v>18</v>
      </c>
      <c r="C283" s="22">
        <v>4151</v>
      </c>
      <c r="D283" s="86">
        <f>QUOTIENT(90125974000000,1000000)</f>
        <v>90125974</v>
      </c>
      <c r="E283" s="86">
        <f>QUOTIENT(23643802800000,1000000)</f>
        <v>23643802</v>
      </c>
      <c r="F283" s="87">
        <f>QUOTIENT(29442293900000,1000000)</f>
        <v>29442293</v>
      </c>
      <c r="G283" s="87">
        <f>QUOTIENT(36349676600000,1000000)</f>
        <v>36349676</v>
      </c>
      <c r="H283" s="88">
        <f>QUOTIENT(690200700000,1000000)</f>
        <v>690200</v>
      </c>
    </row>
    <row r="284" spans="1:8" ht="21.75" customHeight="1" x14ac:dyDescent="0.15">
      <c r="A284" s="250"/>
      <c r="B284" s="23" t="s">
        <v>17</v>
      </c>
      <c r="C284" s="22">
        <v>807</v>
      </c>
      <c r="D284" s="86">
        <f>QUOTIENT(18421460000000,1000000)</f>
        <v>18421460</v>
      </c>
      <c r="E284" s="86">
        <f>QUOTIENT(4910340200000,1000000)</f>
        <v>4910340</v>
      </c>
      <c r="F284" s="87">
        <f>QUOTIENT(5972904800000,1000000)</f>
        <v>5972904</v>
      </c>
      <c r="G284" s="87">
        <f>QUOTIENT(7460608000000,1000000)</f>
        <v>7460608</v>
      </c>
      <c r="H284" s="88">
        <f>QUOTIENT(77607000000,1000000)</f>
        <v>77607</v>
      </c>
    </row>
    <row r="285" spans="1:8" ht="21.75" customHeight="1" x14ac:dyDescent="0.15">
      <c r="A285" s="250"/>
      <c r="B285" s="23" t="s">
        <v>16</v>
      </c>
      <c r="C285" s="22">
        <v>62474</v>
      </c>
      <c r="D285" s="86">
        <f>QUOTIENT(14979042440000,1000000)</f>
        <v>14979042</v>
      </c>
      <c r="E285" s="86">
        <f>QUOTIENT(4036934866000,1000000)</f>
        <v>4036934</v>
      </c>
      <c r="F285" s="87">
        <f>QUOTIENT(4647929064000,1000000)</f>
        <v>4647929</v>
      </c>
      <c r="G285" s="87">
        <f>QUOTIENT(6266469810000,1000000)</f>
        <v>6266469</v>
      </c>
      <c r="H285" s="88">
        <f>QUOTIENT(27708700000,1000000)</f>
        <v>27708</v>
      </c>
    </row>
    <row r="286" spans="1:8" ht="21.75" customHeight="1" x14ac:dyDescent="0.15">
      <c r="A286" s="250"/>
      <c r="B286" s="23" t="s">
        <v>15</v>
      </c>
      <c r="C286" s="22">
        <v>437</v>
      </c>
      <c r="D286" s="86">
        <f>QUOTIENT(3568418540000,1000000)</f>
        <v>3568418</v>
      </c>
      <c r="E286" s="86">
        <f>QUOTIENT(3019361266000,1000000)</f>
        <v>3019361</v>
      </c>
      <c r="F286" s="87">
        <f>QUOTIENT(463080784000,1000000)</f>
        <v>463080</v>
      </c>
      <c r="G286" s="87">
        <f>QUOTIENT(85731490000,1000000)</f>
        <v>85731</v>
      </c>
      <c r="H286" s="88">
        <f>QUOTIENT(245000000,1000000)</f>
        <v>245</v>
      </c>
    </row>
    <row r="287" spans="1:8" ht="21.75" customHeight="1" x14ac:dyDescent="0.15">
      <c r="A287" s="250"/>
      <c r="B287" s="23" t="s">
        <v>14</v>
      </c>
      <c r="C287" s="22">
        <v>31</v>
      </c>
      <c r="D287" s="86">
        <f>QUOTIENT(89700000000,1000000)</f>
        <v>89700</v>
      </c>
      <c r="E287" s="86">
        <f>QUOTIENT(18100000000,1000000)</f>
        <v>18100</v>
      </c>
      <c r="F287" s="87">
        <f>QUOTIENT(52000000000,1000000)</f>
        <v>52000</v>
      </c>
      <c r="G287" s="87">
        <f>QUOTIENT(19600000000,1000000)</f>
        <v>19600</v>
      </c>
      <c r="H287" s="88">
        <f>QUOTIENT(0,1000000)</f>
        <v>0</v>
      </c>
    </row>
    <row r="288" spans="1:8" ht="21.75" customHeight="1" x14ac:dyDescent="0.15">
      <c r="A288" s="250"/>
      <c r="B288" s="23" t="s">
        <v>13</v>
      </c>
      <c r="C288" s="22">
        <v>856</v>
      </c>
      <c r="D288" s="86">
        <f>QUOTIENT(3025642116000,1000000)</f>
        <v>3025642</v>
      </c>
      <c r="E288" s="86">
        <f>QUOTIENT(122174340000,1000000)</f>
        <v>122174</v>
      </c>
      <c r="F288" s="87">
        <f>QUOTIENT(1669337226000,1000000)</f>
        <v>1669337</v>
      </c>
      <c r="G288" s="87">
        <f>QUOTIENT(1234030550000,1000000)</f>
        <v>1234030</v>
      </c>
      <c r="H288" s="88">
        <f>QUOTIENT(100000000,1000000)</f>
        <v>100</v>
      </c>
    </row>
    <row r="289" spans="1:8" ht="21.75" customHeight="1" x14ac:dyDescent="0.15">
      <c r="A289" s="250"/>
      <c r="B289" s="23" t="s">
        <v>12</v>
      </c>
      <c r="C289" s="22">
        <v>291</v>
      </c>
      <c r="D289" s="86">
        <f>QUOTIENT(6889700000000,1000000)</f>
        <v>6889700</v>
      </c>
      <c r="E289" s="86">
        <f>QUOTIENT(1175886000000,1000000)</f>
        <v>1175886</v>
      </c>
      <c r="F289" s="87">
        <f>QUOTIENT(2089142000000,1000000)</f>
        <v>2089142</v>
      </c>
      <c r="G289" s="87">
        <f>QUOTIENT(3596062000000,1000000)</f>
        <v>3596062</v>
      </c>
      <c r="H289" s="88">
        <f>QUOTIENT(28610000000,1000000)</f>
        <v>28610</v>
      </c>
    </row>
    <row r="290" spans="1:8" ht="21.75" customHeight="1" x14ac:dyDescent="0.15">
      <c r="A290" s="250"/>
      <c r="B290" s="23" t="s">
        <v>11</v>
      </c>
      <c r="C290" s="22">
        <v>65</v>
      </c>
      <c r="D290" s="86">
        <f>QUOTIENT(1253450000000,1000000)</f>
        <v>1253450</v>
      </c>
      <c r="E290" s="86">
        <f>QUOTIENT(126100000000,1000000)</f>
        <v>126100</v>
      </c>
      <c r="F290" s="87">
        <f>QUOTIENT(520750000000,1000000)</f>
        <v>520750</v>
      </c>
      <c r="G290" s="87">
        <f>QUOTIENT(606600000000,1000000)</f>
        <v>606600</v>
      </c>
      <c r="H290" s="88">
        <f>QUOTIENT(0,1000000)</f>
        <v>0</v>
      </c>
    </row>
    <row r="291" spans="1:8" ht="21.75" customHeight="1" x14ac:dyDescent="0.15">
      <c r="A291" s="250"/>
      <c r="B291" s="23" t="s">
        <v>10</v>
      </c>
      <c r="C291" s="22">
        <v>0</v>
      </c>
      <c r="D291" s="86">
        <f t="shared" ref="D291:G293" si="11">QUOTIENT(0,1000000)</f>
        <v>0</v>
      </c>
      <c r="E291" s="86">
        <f t="shared" si="11"/>
        <v>0</v>
      </c>
      <c r="F291" s="87">
        <f t="shared" si="11"/>
        <v>0</v>
      </c>
      <c r="G291" s="87">
        <f t="shared" si="11"/>
        <v>0</v>
      </c>
      <c r="H291" s="88">
        <f>QUOTIENT(0,1000000)</f>
        <v>0</v>
      </c>
    </row>
    <row r="292" spans="1:8" ht="21.75" customHeight="1" x14ac:dyDescent="0.15">
      <c r="A292" s="250"/>
      <c r="B292" s="23" t="s">
        <v>9</v>
      </c>
      <c r="C292" s="22">
        <v>0</v>
      </c>
      <c r="D292" s="86">
        <f t="shared" si="11"/>
        <v>0</v>
      </c>
      <c r="E292" s="86">
        <f t="shared" si="11"/>
        <v>0</v>
      </c>
      <c r="F292" s="87">
        <f t="shared" si="11"/>
        <v>0</v>
      </c>
      <c r="G292" s="87">
        <f t="shared" si="11"/>
        <v>0</v>
      </c>
      <c r="H292" s="88">
        <f>QUOTIENT(0,1000000)</f>
        <v>0</v>
      </c>
    </row>
    <row r="293" spans="1:8" ht="21.75" customHeight="1" x14ac:dyDescent="0.15">
      <c r="A293" s="250"/>
      <c r="B293" s="23" t="s">
        <v>8</v>
      </c>
      <c r="C293" s="22">
        <v>0</v>
      </c>
      <c r="D293" s="86">
        <f t="shared" si="11"/>
        <v>0</v>
      </c>
      <c r="E293" s="86">
        <f t="shared" si="11"/>
        <v>0</v>
      </c>
      <c r="F293" s="87">
        <f t="shared" si="11"/>
        <v>0</v>
      </c>
      <c r="G293" s="87">
        <f t="shared" si="11"/>
        <v>0</v>
      </c>
      <c r="H293" s="88">
        <f>QUOTIENT(0,1000000)</f>
        <v>0</v>
      </c>
    </row>
    <row r="294" spans="1:8" ht="21.75" customHeight="1" x14ac:dyDescent="0.15">
      <c r="A294" s="251"/>
      <c r="B294" s="23" t="s">
        <v>7</v>
      </c>
      <c r="C294" s="22">
        <v>94</v>
      </c>
      <c r="D294" s="86">
        <f>QUOTIENT(7600000000,1000000)</f>
        <v>7600</v>
      </c>
      <c r="E294" s="86">
        <f>QUOTIENT(0,1000000)</f>
        <v>0</v>
      </c>
      <c r="F294" s="87">
        <f>QUOTIENT(0,1000000)</f>
        <v>0</v>
      </c>
      <c r="G294" s="87">
        <f>QUOTIENT(7600000000,1000000)</f>
        <v>7600</v>
      </c>
      <c r="H294" s="88">
        <f>QUOTIENT(0,1000000)</f>
        <v>0</v>
      </c>
    </row>
    <row r="295" spans="1:8" ht="21.75" customHeight="1" x14ac:dyDescent="0.15">
      <c r="A295" s="18" t="s">
        <v>6</v>
      </c>
      <c r="B295" s="17" t="s">
        <v>5</v>
      </c>
      <c r="C295" s="16">
        <v>3159</v>
      </c>
      <c r="D295" s="80">
        <v>22480485</v>
      </c>
      <c r="E295" s="80">
        <v>791600</v>
      </c>
      <c r="F295" s="81">
        <v>10370278</v>
      </c>
      <c r="G295" s="81">
        <v>9044291</v>
      </c>
      <c r="H295" s="82">
        <v>2274316</v>
      </c>
    </row>
    <row r="296" spans="1:8" ht="21.75" customHeight="1" x14ac:dyDescent="0.15">
      <c r="A296" s="252" t="s">
        <v>4</v>
      </c>
      <c r="B296" s="12" t="s">
        <v>3</v>
      </c>
      <c r="C296" s="11">
        <v>5682</v>
      </c>
      <c r="D296" s="89">
        <f>QUOTIENT(116169828904923,1000000)</f>
        <v>116169828</v>
      </c>
      <c r="E296" s="89">
        <f>QUOTIENT(73628018953854,1000000)</f>
        <v>73628018</v>
      </c>
      <c r="F296" s="90">
        <f>QUOTIENT(19543161976388,1000000)</f>
        <v>19543161</v>
      </c>
      <c r="G296" s="90">
        <f>QUOTIENT(13550542807531,1000000)</f>
        <v>13550542</v>
      </c>
      <c r="H296" s="91">
        <f>QUOTIENT(9448105167150,1000000)</f>
        <v>9448105</v>
      </c>
    </row>
    <row r="297" spans="1:8" ht="21.75" customHeight="1" thickBot="1" x14ac:dyDescent="0.2">
      <c r="A297" s="253"/>
      <c r="B297" s="7" t="s">
        <v>1153</v>
      </c>
      <c r="C297" s="6">
        <v>8440</v>
      </c>
      <c r="D297" s="92" t="s">
        <v>2178</v>
      </c>
      <c r="E297" s="92" t="s">
        <v>2178</v>
      </c>
      <c r="F297" s="92" t="s">
        <v>2178</v>
      </c>
      <c r="G297" s="92" t="s">
        <v>2178</v>
      </c>
      <c r="H297" s="93" t="s">
        <v>2178</v>
      </c>
    </row>
    <row r="298" spans="1:8" ht="18" customHeight="1" x14ac:dyDescent="0.15">
      <c r="A298" s="3" t="s">
        <v>1155</v>
      </c>
      <c r="B298" s="2"/>
      <c r="C298" s="2"/>
      <c r="D298" s="2"/>
      <c r="E298" s="2"/>
      <c r="F298" s="2"/>
      <c r="G298" s="2"/>
      <c r="H298" s="2"/>
    </row>
    <row r="299" spans="1:8" ht="18" customHeight="1" x14ac:dyDescent="0.15">
      <c r="A299" s="3" t="s">
        <v>2587</v>
      </c>
      <c r="B299" s="2"/>
      <c r="C299" s="2"/>
      <c r="D299" s="2"/>
      <c r="E299" s="2"/>
      <c r="F299" s="2"/>
      <c r="G299" s="2"/>
      <c r="H299" s="2"/>
    </row>
    <row r="300" spans="1:8" ht="18" customHeight="1" x14ac:dyDescent="0.15">
      <c r="A300" s="3" t="s">
        <v>1156</v>
      </c>
      <c r="B300" s="2"/>
      <c r="C300" s="2"/>
      <c r="D300" s="2"/>
      <c r="E300" s="2"/>
      <c r="F300" s="2"/>
      <c r="G300" s="2"/>
      <c r="H300" s="2"/>
    </row>
    <row r="301" spans="1:8" ht="18" customHeight="1" x14ac:dyDescent="0.15">
      <c r="A301" s="3" t="s">
        <v>2589</v>
      </c>
      <c r="B301" s="2"/>
      <c r="C301" s="2"/>
      <c r="D301" s="2"/>
      <c r="E301" s="2"/>
      <c r="F301" s="2"/>
      <c r="G301" s="2"/>
      <c r="H301" s="2"/>
    </row>
    <row r="302" spans="1:8" ht="24" x14ac:dyDescent="0.15">
      <c r="A302" s="230" t="s">
        <v>2585</v>
      </c>
      <c r="B302" s="230"/>
      <c r="C302" s="230"/>
      <c r="D302" s="230"/>
      <c r="E302" s="230"/>
      <c r="F302" s="230"/>
      <c r="G302" s="230"/>
      <c r="H302" s="230"/>
    </row>
    <row r="303" spans="1:8" ht="18" customHeight="1" x14ac:dyDescent="0.15">
      <c r="A303" s="231"/>
      <c r="B303" s="231"/>
      <c r="C303" s="231"/>
      <c r="D303" s="231"/>
      <c r="E303" s="231"/>
      <c r="F303" s="231"/>
      <c r="G303" s="231"/>
      <c r="H303" s="231"/>
    </row>
    <row r="304" spans="1:8" thickBot="1" x14ac:dyDescent="0.2">
      <c r="A304" s="58" t="s">
        <v>48</v>
      </c>
    </row>
    <row r="305" spans="1:8" ht="18" customHeight="1" x14ac:dyDescent="0.15">
      <c r="A305" s="232" t="s">
        <v>47</v>
      </c>
      <c r="B305" s="235" t="s">
        <v>46</v>
      </c>
      <c r="C305" s="238" t="s">
        <v>45</v>
      </c>
      <c r="D305" s="241" t="s">
        <v>44</v>
      </c>
      <c r="E305" s="192"/>
      <c r="F305" s="56"/>
      <c r="G305" s="56"/>
      <c r="H305" s="55"/>
    </row>
    <row r="306" spans="1:8" ht="18" customHeight="1" x14ac:dyDescent="0.15">
      <c r="A306" s="233"/>
      <c r="B306" s="236"/>
      <c r="C306" s="239"/>
      <c r="D306" s="242"/>
      <c r="E306" s="244" t="s">
        <v>43</v>
      </c>
      <c r="F306" s="246" t="s">
        <v>42</v>
      </c>
      <c r="G306" s="246" t="s">
        <v>41</v>
      </c>
      <c r="H306" s="248" t="s">
        <v>40</v>
      </c>
    </row>
    <row r="307" spans="1:8" ht="18" customHeight="1" thickBot="1" x14ac:dyDescent="0.2">
      <c r="A307" s="234"/>
      <c r="B307" s="237"/>
      <c r="C307" s="240"/>
      <c r="D307" s="243"/>
      <c r="E307" s="245"/>
      <c r="F307" s="247"/>
      <c r="G307" s="247"/>
      <c r="H307" s="249"/>
    </row>
    <row r="308" spans="1:8" s="60" customFormat="1" ht="18" customHeight="1" thickTop="1" x14ac:dyDescent="0.15">
      <c r="A308" s="193"/>
      <c r="B308" s="194"/>
      <c r="C308" s="52"/>
      <c r="D308" s="51" t="s">
        <v>39</v>
      </c>
      <c r="E308" s="50" t="s">
        <v>39</v>
      </c>
      <c r="F308" s="49" t="s">
        <v>39</v>
      </c>
      <c r="G308" s="49" t="s">
        <v>39</v>
      </c>
      <c r="H308" s="48" t="s">
        <v>39</v>
      </c>
    </row>
    <row r="309" spans="1:8" ht="21.75" customHeight="1" x14ac:dyDescent="0.15">
      <c r="A309" s="250" t="s">
        <v>38</v>
      </c>
      <c r="B309" s="61" t="s">
        <v>37</v>
      </c>
      <c r="C309" s="62">
        <v>3998</v>
      </c>
      <c r="D309" s="63">
        <f>QUOTIENT(867687157664981,1000000)</f>
        <v>867687157</v>
      </c>
      <c r="E309" s="63">
        <f>QUOTIENT(311650903641663,1000000)</f>
        <v>311650903</v>
      </c>
      <c r="F309" s="64">
        <f>QUOTIENT(280665259031180,1000000)</f>
        <v>280665259</v>
      </c>
      <c r="G309" s="64">
        <f>QUOTIENT(263484326938178,1000000)</f>
        <v>263484326</v>
      </c>
      <c r="H309" s="65">
        <f>QUOTIENT(11886668053958,1000000)</f>
        <v>11886668</v>
      </c>
    </row>
    <row r="310" spans="1:8" ht="21.75" customHeight="1" x14ac:dyDescent="0.15">
      <c r="A310" s="250"/>
      <c r="B310" s="66" t="s">
        <v>36</v>
      </c>
      <c r="C310" s="67">
        <v>12</v>
      </c>
      <c r="D310" s="68">
        <f>QUOTIENT(34596000,1000000)</f>
        <v>34</v>
      </c>
      <c r="E310" s="68">
        <f>QUOTIENT(34596000,1000000)</f>
        <v>34</v>
      </c>
      <c r="F310" s="69">
        <f t="shared" ref="F310:H311" si="12">QUOTIENT(0,1000000)</f>
        <v>0</v>
      </c>
      <c r="G310" s="69">
        <f t="shared" si="12"/>
        <v>0</v>
      </c>
      <c r="H310" s="70">
        <f t="shared" si="12"/>
        <v>0</v>
      </c>
    </row>
    <row r="311" spans="1:8" ht="21.75" customHeight="1" x14ac:dyDescent="0.15">
      <c r="A311" s="250"/>
      <c r="B311" s="66" t="s">
        <v>35</v>
      </c>
      <c r="C311" s="67">
        <v>111</v>
      </c>
      <c r="D311" s="68">
        <f>QUOTIENT(0,1000000)</f>
        <v>0</v>
      </c>
      <c r="E311" s="68">
        <f>QUOTIENT(0,1000000)</f>
        <v>0</v>
      </c>
      <c r="F311" s="69">
        <f t="shared" si="12"/>
        <v>0</v>
      </c>
      <c r="G311" s="69">
        <f t="shared" si="12"/>
        <v>0</v>
      </c>
      <c r="H311" s="70">
        <f t="shared" si="12"/>
        <v>0</v>
      </c>
    </row>
    <row r="312" spans="1:8" ht="21.75" customHeight="1" x14ac:dyDescent="0.15">
      <c r="A312" s="250"/>
      <c r="B312" s="71" t="s">
        <v>34</v>
      </c>
      <c r="C312" s="72">
        <v>1</v>
      </c>
      <c r="D312" s="73">
        <f>QUOTIENT(194761050000,1000000)</f>
        <v>194761</v>
      </c>
      <c r="E312" s="73">
        <f>QUOTIENT(146810950000,1000000)</f>
        <v>146810</v>
      </c>
      <c r="F312" s="74">
        <f>QUOTIENT(9556800000,1000000)</f>
        <v>9556</v>
      </c>
      <c r="G312" s="74">
        <f>QUOTIENT(35558325000,1000000)</f>
        <v>35558</v>
      </c>
      <c r="H312" s="75">
        <f>QUOTIENT(2834975000,1000000)</f>
        <v>2834</v>
      </c>
    </row>
    <row r="313" spans="1:8" ht="21.75" customHeight="1" x14ac:dyDescent="0.15">
      <c r="A313" s="250"/>
      <c r="B313" s="66" t="s">
        <v>33</v>
      </c>
      <c r="C313" s="67">
        <v>65</v>
      </c>
      <c r="D313" s="68">
        <f>QUOTIENT(16225230207200,1000000)</f>
        <v>16225230</v>
      </c>
      <c r="E313" s="68">
        <f>QUOTIENT(4123498991900,1000000)</f>
        <v>4123498</v>
      </c>
      <c r="F313" s="69">
        <f>QUOTIENT(4335949346750,1000000)</f>
        <v>4335949</v>
      </c>
      <c r="G313" s="69">
        <f>QUOTIENT(7538591556000,1000000)</f>
        <v>7538591</v>
      </c>
      <c r="H313" s="70">
        <f>QUOTIENT(227190312550,1000000)</f>
        <v>227190</v>
      </c>
    </row>
    <row r="314" spans="1:8" ht="21.75" customHeight="1" x14ac:dyDescent="0.15">
      <c r="A314" s="250"/>
      <c r="B314" s="76" t="s">
        <v>32</v>
      </c>
      <c r="C314" s="67">
        <v>259</v>
      </c>
      <c r="D314" s="68">
        <f>QUOTIENT(72766537556862,1000000)</f>
        <v>72766537</v>
      </c>
      <c r="E314" s="68">
        <f>QUOTIENT(5558813015183,1000000)</f>
        <v>5558813</v>
      </c>
      <c r="F314" s="69">
        <f>QUOTIENT(2380177688831,1000000)</f>
        <v>2380177</v>
      </c>
      <c r="G314" s="69">
        <f>QUOTIENT(64624428609596,1000000)</f>
        <v>64624428</v>
      </c>
      <c r="H314" s="70">
        <f>QUOTIENT(203118243252,1000000)</f>
        <v>203118</v>
      </c>
    </row>
    <row r="315" spans="1:8" ht="21.75" customHeight="1" x14ac:dyDescent="0.15">
      <c r="A315" s="251"/>
      <c r="B315" s="77" t="s">
        <v>31</v>
      </c>
      <c r="C315" s="72">
        <v>44</v>
      </c>
      <c r="D315" s="73">
        <f>QUOTIENT(518357045736,1000000)</f>
        <v>518357</v>
      </c>
      <c r="E315" s="73">
        <f>QUOTIENT(345090274613,1000000)</f>
        <v>345090</v>
      </c>
      <c r="F315" s="74">
        <f>QUOTIENT(8998755205,1000000)</f>
        <v>8998</v>
      </c>
      <c r="G315" s="74">
        <f>QUOTIENT(150931372240,1000000)</f>
        <v>150931</v>
      </c>
      <c r="H315" s="75">
        <f>QUOTIENT(13336643678,1000000)</f>
        <v>13336</v>
      </c>
    </row>
    <row r="316" spans="1:8" ht="21.75" customHeight="1" x14ac:dyDescent="0.15">
      <c r="A316" s="30" t="s">
        <v>30</v>
      </c>
      <c r="B316" s="78" t="s">
        <v>29</v>
      </c>
      <c r="C316" s="79">
        <v>27</v>
      </c>
      <c r="D316" s="80">
        <f>QUOTIENT(157956133061,1000000)</f>
        <v>157956</v>
      </c>
      <c r="E316" s="80">
        <f>QUOTIENT(143406556096,1000000)</f>
        <v>143406</v>
      </c>
      <c r="F316" s="81">
        <f>QUOTIENT(674970379,1000000)</f>
        <v>674</v>
      </c>
      <c r="G316" s="81">
        <f>QUOTIENT(305718000,1000000)</f>
        <v>305</v>
      </c>
      <c r="H316" s="82">
        <f>QUOTIENT(13568888586,1000000)</f>
        <v>13568</v>
      </c>
    </row>
    <row r="317" spans="1:8" ht="21.75" customHeight="1" x14ac:dyDescent="0.15">
      <c r="A317" s="252" t="s">
        <v>28</v>
      </c>
      <c r="B317" s="17" t="s">
        <v>27</v>
      </c>
      <c r="C317" s="16">
        <v>3515</v>
      </c>
      <c r="D317" s="83">
        <f>QUOTIENT(65218578570000,1000000)</f>
        <v>65218578</v>
      </c>
      <c r="E317" s="83">
        <f>QUOTIENT(10818101440000,1000000)</f>
        <v>10818101</v>
      </c>
      <c r="F317" s="84">
        <f>QUOTIENT(29041918520000,1000000)</f>
        <v>29041918</v>
      </c>
      <c r="G317" s="84">
        <f>QUOTIENT(25226092030000,1000000)</f>
        <v>25226092</v>
      </c>
      <c r="H317" s="85">
        <f>QUOTIENT(132466580000,1000000)</f>
        <v>132466</v>
      </c>
    </row>
    <row r="318" spans="1:8" ht="21.75" customHeight="1" x14ac:dyDescent="0.15">
      <c r="A318" s="250"/>
      <c r="B318" s="23" t="s">
        <v>26</v>
      </c>
      <c r="C318" s="22">
        <v>3482</v>
      </c>
      <c r="D318" s="86">
        <f>QUOTIENT(15038394287000,1000000)</f>
        <v>15038394</v>
      </c>
      <c r="E318" s="86">
        <f>QUOTIENT(490682636000,1000000)</f>
        <v>490682</v>
      </c>
      <c r="F318" s="87">
        <f>QUOTIENT(9854533991000,1000000)</f>
        <v>9854533</v>
      </c>
      <c r="G318" s="87">
        <f>QUOTIENT(4682240660000,1000000)</f>
        <v>4682240</v>
      </c>
      <c r="H318" s="88">
        <f>QUOTIENT(10937000000,1000000)</f>
        <v>10937</v>
      </c>
    </row>
    <row r="319" spans="1:8" ht="21.75" customHeight="1" x14ac:dyDescent="0.15">
      <c r="A319" s="250"/>
      <c r="B319" s="24" t="s">
        <v>25</v>
      </c>
      <c r="C319" s="22">
        <v>550</v>
      </c>
      <c r="D319" s="86">
        <f>QUOTIENT(18923900000000,1000000)</f>
        <v>18923900</v>
      </c>
      <c r="E319" s="86">
        <f>QUOTIENT(1479263600000,1000000)</f>
        <v>1479263</v>
      </c>
      <c r="F319" s="87">
        <f>QUOTIENT(7389506700000,1000000)</f>
        <v>7389506</v>
      </c>
      <c r="G319" s="87">
        <f>QUOTIENT(10012760700000,1000000)</f>
        <v>10012760</v>
      </c>
      <c r="H319" s="88">
        <f>QUOTIENT(42369000000,1000000)</f>
        <v>42369</v>
      </c>
    </row>
    <row r="320" spans="1:8" ht="21.75" customHeight="1" x14ac:dyDescent="0.15">
      <c r="A320" s="250"/>
      <c r="B320" s="23" t="s">
        <v>24</v>
      </c>
      <c r="C320" s="22">
        <v>2153</v>
      </c>
      <c r="D320" s="86">
        <f>QUOTIENT(55893800000000,1000000)</f>
        <v>55893800</v>
      </c>
      <c r="E320" s="86">
        <f>QUOTIENT(7982974680000,1000000)</f>
        <v>7982974</v>
      </c>
      <c r="F320" s="87">
        <f>QUOTIENT(19369895320000,1000000)</f>
        <v>19369895</v>
      </c>
      <c r="G320" s="87">
        <f>QUOTIENT(28530280000000,1000000)</f>
        <v>28530280</v>
      </c>
      <c r="H320" s="88">
        <f>QUOTIENT(10650000000,1000000)</f>
        <v>10650</v>
      </c>
    </row>
    <row r="321" spans="1:8" ht="21.75" customHeight="1" x14ac:dyDescent="0.15">
      <c r="A321" s="250"/>
      <c r="B321" s="23" t="s">
        <v>23</v>
      </c>
      <c r="C321" s="22">
        <v>524</v>
      </c>
      <c r="D321" s="86">
        <f>QUOTIENT(5228905000000,1000000)</f>
        <v>5228905</v>
      </c>
      <c r="E321" s="86">
        <f>QUOTIENT(284455000000,1000000)</f>
        <v>284455</v>
      </c>
      <c r="F321" s="87">
        <f>QUOTIENT(87193200000,1000000)</f>
        <v>87193</v>
      </c>
      <c r="G321" s="87">
        <f>QUOTIENT(4857256800000,1000000)</f>
        <v>4857256</v>
      </c>
      <c r="H321" s="88">
        <f>QUOTIENT(0,1000000)</f>
        <v>0</v>
      </c>
    </row>
    <row r="322" spans="1:8" ht="21.75" customHeight="1" x14ac:dyDescent="0.15">
      <c r="A322" s="250"/>
      <c r="B322" s="23" t="s">
        <v>22</v>
      </c>
      <c r="C322" s="22">
        <v>175</v>
      </c>
      <c r="D322" s="86">
        <f>QUOTIENT(1314900000000,1000000)</f>
        <v>1314900</v>
      </c>
      <c r="E322" s="86">
        <f>QUOTIENT(333470000000,1000000)</f>
        <v>333470</v>
      </c>
      <c r="F322" s="87">
        <f>QUOTIENT(471200000000,1000000)</f>
        <v>471200</v>
      </c>
      <c r="G322" s="87">
        <f>QUOTIENT(510230000000,1000000)</f>
        <v>510230</v>
      </c>
      <c r="H322" s="88">
        <f>QUOTIENT(0,1000000)</f>
        <v>0</v>
      </c>
    </row>
    <row r="323" spans="1:8" ht="21.75" customHeight="1" x14ac:dyDescent="0.15">
      <c r="A323" s="250"/>
      <c r="B323" s="23" t="s">
        <v>21</v>
      </c>
      <c r="C323" s="22">
        <v>19</v>
      </c>
      <c r="D323" s="86">
        <f>QUOTIENT(121410000000,1000000)</f>
        <v>121410</v>
      </c>
      <c r="E323" s="86">
        <f>QUOTIENT(108903000000,1000000)</f>
        <v>108903</v>
      </c>
      <c r="F323" s="87">
        <f>QUOTIENT(6220000000,1000000)</f>
        <v>6220</v>
      </c>
      <c r="G323" s="87">
        <f>QUOTIENT(6287000000,1000000)</f>
        <v>6287</v>
      </c>
      <c r="H323" s="88">
        <f>QUOTIENT(0,1000000)</f>
        <v>0</v>
      </c>
    </row>
    <row r="324" spans="1:8" ht="21.75" customHeight="1" x14ac:dyDescent="0.15">
      <c r="A324" s="250"/>
      <c r="B324" s="23" t="s">
        <v>20</v>
      </c>
      <c r="C324" s="22">
        <v>0</v>
      </c>
      <c r="D324" s="86">
        <f>QUOTIENT(0,1000000)</f>
        <v>0</v>
      </c>
      <c r="E324" s="86">
        <f>QUOTIENT(0,1000000)</f>
        <v>0</v>
      </c>
      <c r="F324" s="87">
        <f>QUOTIENT(0,1000000)</f>
        <v>0</v>
      </c>
      <c r="G324" s="87">
        <f>QUOTIENT(0,1000000)</f>
        <v>0</v>
      </c>
      <c r="H324" s="88">
        <f>QUOTIENT(0,1000000)</f>
        <v>0</v>
      </c>
    </row>
    <row r="325" spans="1:8" ht="21.75" customHeight="1" x14ac:dyDescent="0.15">
      <c r="A325" s="250"/>
      <c r="B325" s="23" t="s">
        <v>19</v>
      </c>
      <c r="C325" s="22">
        <v>202</v>
      </c>
      <c r="D325" s="86">
        <f>QUOTIENT(4822640000000,1000000)</f>
        <v>4822640</v>
      </c>
      <c r="E325" s="86">
        <f>QUOTIENT(529980000000,1000000)</f>
        <v>529980</v>
      </c>
      <c r="F325" s="87">
        <f>QUOTIENT(2587720000000,1000000)</f>
        <v>2587720</v>
      </c>
      <c r="G325" s="87">
        <f>QUOTIENT(1660340000000,1000000)</f>
        <v>1660340</v>
      </c>
      <c r="H325" s="88">
        <f>QUOTIENT(44600000000,1000000)</f>
        <v>44600</v>
      </c>
    </row>
    <row r="326" spans="1:8" ht="21.75" customHeight="1" x14ac:dyDescent="0.15">
      <c r="A326" s="250"/>
      <c r="B326" s="23" t="s">
        <v>18</v>
      </c>
      <c r="C326" s="22">
        <v>4147</v>
      </c>
      <c r="D326" s="86">
        <f>QUOTIENT(89418603500000,1000000)</f>
        <v>89418603</v>
      </c>
      <c r="E326" s="86">
        <f>QUOTIENT(23223807200000,1000000)</f>
        <v>23223807</v>
      </c>
      <c r="F326" s="87">
        <f>QUOTIENT(29560506300000,1000000)</f>
        <v>29560506</v>
      </c>
      <c r="G326" s="87">
        <f>QUOTIENT(35971210300000,1000000)</f>
        <v>35971210</v>
      </c>
      <c r="H326" s="88">
        <f>QUOTIENT(663079700000,1000000)</f>
        <v>663079</v>
      </c>
    </row>
    <row r="327" spans="1:8" ht="21.75" customHeight="1" x14ac:dyDescent="0.15">
      <c r="A327" s="250"/>
      <c r="B327" s="23" t="s">
        <v>17</v>
      </c>
      <c r="C327" s="22">
        <v>810</v>
      </c>
      <c r="D327" s="86">
        <f>QUOTIENT(18571460000000,1000000)</f>
        <v>18571460</v>
      </c>
      <c r="E327" s="86">
        <f>QUOTIENT(4953702700000,1000000)</f>
        <v>4953702</v>
      </c>
      <c r="F327" s="87">
        <f>QUOTIENT(6023439300000,1000000)</f>
        <v>6023439</v>
      </c>
      <c r="G327" s="87">
        <f>QUOTIENT(7520111000000,1000000)</f>
        <v>7520111</v>
      </c>
      <c r="H327" s="88">
        <f>QUOTIENT(74207000000,1000000)</f>
        <v>74207</v>
      </c>
    </row>
    <row r="328" spans="1:8" ht="21.75" customHeight="1" x14ac:dyDescent="0.15">
      <c r="A328" s="250"/>
      <c r="B328" s="23" t="s">
        <v>16</v>
      </c>
      <c r="C328" s="22">
        <v>62951</v>
      </c>
      <c r="D328" s="86">
        <f>QUOTIENT(15093647019000,1000000)</f>
        <v>15093647</v>
      </c>
      <c r="E328" s="86">
        <f>QUOTIENT(4071976845000,1000000)</f>
        <v>4071976</v>
      </c>
      <c r="F328" s="87">
        <f>QUOTIENT(4716824064000,1000000)</f>
        <v>4716824</v>
      </c>
      <c r="G328" s="87">
        <f>QUOTIENT(6277169810000,1000000)</f>
        <v>6277169</v>
      </c>
      <c r="H328" s="88">
        <f>QUOTIENT(27676300000,1000000)</f>
        <v>27676</v>
      </c>
    </row>
    <row r="329" spans="1:8" ht="21.75" customHeight="1" x14ac:dyDescent="0.15">
      <c r="A329" s="250"/>
      <c r="B329" s="23" t="s">
        <v>15</v>
      </c>
      <c r="C329" s="22">
        <v>440</v>
      </c>
      <c r="D329" s="86">
        <f>QUOTIENT(3583160519000,1000000)</f>
        <v>3583160</v>
      </c>
      <c r="E329" s="86">
        <f>QUOTIENT(3054603245000,1000000)</f>
        <v>3054603</v>
      </c>
      <c r="F329" s="87">
        <f>QUOTIENT(462580784000,1000000)</f>
        <v>462580</v>
      </c>
      <c r="G329" s="87">
        <f>QUOTIENT(65731490000,1000000)</f>
        <v>65731</v>
      </c>
      <c r="H329" s="88">
        <f>QUOTIENT(245000000,1000000)</f>
        <v>245</v>
      </c>
    </row>
    <row r="330" spans="1:8" ht="21.75" customHeight="1" x14ac:dyDescent="0.15">
      <c r="A330" s="250"/>
      <c r="B330" s="23" t="s">
        <v>14</v>
      </c>
      <c r="C330" s="22">
        <v>31</v>
      </c>
      <c r="D330" s="86">
        <f>QUOTIENT(89700000000,1000000)</f>
        <v>89700</v>
      </c>
      <c r="E330" s="86">
        <f>QUOTIENT(18000000000,1000000)</f>
        <v>18000</v>
      </c>
      <c r="F330" s="87">
        <f>QUOTIENT(52200000000,1000000)</f>
        <v>52200</v>
      </c>
      <c r="G330" s="87">
        <f>QUOTIENT(19500000000,1000000)</f>
        <v>19500</v>
      </c>
      <c r="H330" s="88">
        <f>QUOTIENT(0,1000000)</f>
        <v>0</v>
      </c>
    </row>
    <row r="331" spans="1:8" ht="21.75" customHeight="1" x14ac:dyDescent="0.15">
      <c r="A331" s="250"/>
      <c r="B331" s="23" t="s">
        <v>13</v>
      </c>
      <c r="C331" s="22">
        <v>854</v>
      </c>
      <c r="D331" s="86">
        <f>QUOTIENT(3063945416000,1000000)</f>
        <v>3063945</v>
      </c>
      <c r="E331" s="86">
        <f>QUOTIENT(119428340000,1000000)</f>
        <v>119428</v>
      </c>
      <c r="F331" s="87">
        <f>QUOTIENT(1709098526000,1000000)</f>
        <v>1709098</v>
      </c>
      <c r="G331" s="87">
        <f>QUOTIENT(1235318550000,1000000)</f>
        <v>1235318</v>
      </c>
      <c r="H331" s="88">
        <f>QUOTIENT(100000000,1000000)</f>
        <v>100</v>
      </c>
    </row>
    <row r="332" spans="1:8" ht="21.75" customHeight="1" x14ac:dyDescent="0.15">
      <c r="A332" s="250"/>
      <c r="B332" s="23" t="s">
        <v>12</v>
      </c>
      <c r="C332" s="22">
        <v>288</v>
      </c>
      <c r="D332" s="86">
        <f>QUOTIENT(6965700000000,1000000)</f>
        <v>6965700</v>
      </c>
      <c r="E332" s="86">
        <f>QUOTIENT(1233086000000,1000000)</f>
        <v>1233086</v>
      </c>
      <c r="F332" s="87">
        <f>QUOTIENT(2095142000000,1000000)</f>
        <v>2095142</v>
      </c>
      <c r="G332" s="87">
        <f>QUOTIENT(3607762000000,1000000)</f>
        <v>3607762</v>
      </c>
      <c r="H332" s="88">
        <f>QUOTIENT(29710000000,1000000)</f>
        <v>29710</v>
      </c>
    </row>
    <row r="333" spans="1:8" ht="21.75" customHeight="1" x14ac:dyDescent="0.15">
      <c r="A333" s="250"/>
      <c r="B333" s="23" t="s">
        <v>11</v>
      </c>
      <c r="C333" s="22">
        <v>66</v>
      </c>
      <c r="D333" s="86">
        <f>QUOTIENT(1253150000000,1000000)</f>
        <v>1253150</v>
      </c>
      <c r="E333" s="86">
        <f>QUOTIENT(126800000000,1000000)</f>
        <v>126800</v>
      </c>
      <c r="F333" s="87">
        <f>QUOTIENT(519850000000,1000000)</f>
        <v>519850</v>
      </c>
      <c r="G333" s="87">
        <f>QUOTIENT(606500000000,1000000)</f>
        <v>606500</v>
      </c>
      <c r="H333" s="88">
        <f>QUOTIENT(0,1000000)</f>
        <v>0</v>
      </c>
    </row>
    <row r="334" spans="1:8" ht="21.75" customHeight="1" x14ac:dyDescent="0.15">
      <c r="A334" s="250"/>
      <c r="B334" s="23" t="s">
        <v>10</v>
      </c>
      <c r="C334" s="22">
        <v>0</v>
      </c>
      <c r="D334" s="86">
        <f t="shared" ref="D334:G336" si="13">QUOTIENT(0,1000000)</f>
        <v>0</v>
      </c>
      <c r="E334" s="86">
        <f t="shared" si="13"/>
        <v>0</v>
      </c>
      <c r="F334" s="87">
        <f t="shared" si="13"/>
        <v>0</v>
      </c>
      <c r="G334" s="87">
        <f t="shared" si="13"/>
        <v>0</v>
      </c>
      <c r="H334" s="88">
        <f>QUOTIENT(0,1000000)</f>
        <v>0</v>
      </c>
    </row>
    <row r="335" spans="1:8" ht="21.75" customHeight="1" x14ac:dyDescent="0.15">
      <c r="A335" s="250"/>
      <c r="B335" s="23" t="s">
        <v>9</v>
      </c>
      <c r="C335" s="22">
        <v>0</v>
      </c>
      <c r="D335" s="86">
        <f t="shared" si="13"/>
        <v>0</v>
      </c>
      <c r="E335" s="86">
        <f t="shared" si="13"/>
        <v>0</v>
      </c>
      <c r="F335" s="87">
        <f t="shared" si="13"/>
        <v>0</v>
      </c>
      <c r="G335" s="87">
        <f t="shared" si="13"/>
        <v>0</v>
      </c>
      <c r="H335" s="88">
        <f>QUOTIENT(0,1000000)</f>
        <v>0</v>
      </c>
    </row>
    <row r="336" spans="1:8" ht="21.75" customHeight="1" x14ac:dyDescent="0.15">
      <c r="A336" s="250"/>
      <c r="B336" s="23" t="s">
        <v>8</v>
      </c>
      <c r="C336" s="22">
        <v>0</v>
      </c>
      <c r="D336" s="86">
        <f t="shared" si="13"/>
        <v>0</v>
      </c>
      <c r="E336" s="86">
        <f t="shared" si="13"/>
        <v>0</v>
      </c>
      <c r="F336" s="87">
        <f t="shared" si="13"/>
        <v>0</v>
      </c>
      <c r="G336" s="87">
        <f t="shared" si="13"/>
        <v>0</v>
      </c>
      <c r="H336" s="88">
        <f>QUOTIENT(0,1000000)</f>
        <v>0</v>
      </c>
    </row>
    <row r="337" spans="1:8" ht="21.75" customHeight="1" x14ac:dyDescent="0.15">
      <c r="A337" s="251"/>
      <c r="B337" s="23" t="s">
        <v>7</v>
      </c>
      <c r="C337" s="22">
        <v>93</v>
      </c>
      <c r="D337" s="86">
        <f>QUOTIENT(7570000000,1000000)</f>
        <v>7570</v>
      </c>
      <c r="E337" s="86">
        <f>QUOTIENT(0,1000000)</f>
        <v>0</v>
      </c>
      <c r="F337" s="87">
        <f>QUOTIENT(0,1000000)</f>
        <v>0</v>
      </c>
      <c r="G337" s="87">
        <f>QUOTIENT(7570000000,1000000)</f>
        <v>7570</v>
      </c>
      <c r="H337" s="88">
        <f>QUOTIENT(0,1000000)</f>
        <v>0</v>
      </c>
    </row>
    <row r="338" spans="1:8" ht="21.75" customHeight="1" x14ac:dyDescent="0.15">
      <c r="A338" s="18" t="s">
        <v>6</v>
      </c>
      <c r="B338" s="17" t="s">
        <v>5</v>
      </c>
      <c r="C338" s="16">
        <v>3228</v>
      </c>
      <c r="D338" s="80">
        <v>27171152</v>
      </c>
      <c r="E338" s="80">
        <v>818300</v>
      </c>
      <c r="F338" s="81">
        <v>12363931</v>
      </c>
      <c r="G338" s="81">
        <v>11027021</v>
      </c>
      <c r="H338" s="82">
        <v>2961900</v>
      </c>
    </row>
    <row r="339" spans="1:8" ht="21.75" customHeight="1" x14ac:dyDescent="0.15">
      <c r="A339" s="252" t="s">
        <v>4</v>
      </c>
      <c r="B339" s="12" t="s">
        <v>3</v>
      </c>
      <c r="C339" s="11">
        <v>5658</v>
      </c>
      <c r="D339" s="89">
        <f>QUOTIENT(117443043891904,1000000)</f>
        <v>117443043</v>
      </c>
      <c r="E339" s="89">
        <f>QUOTIENT(74437896881402,1000000)</f>
        <v>74437896</v>
      </c>
      <c r="F339" s="90">
        <f>QUOTIENT(19723597236838,1000000)</f>
        <v>19723597</v>
      </c>
      <c r="G339" s="90">
        <f>QUOTIENT(13735231527710,1000000)</f>
        <v>13735231</v>
      </c>
      <c r="H339" s="91">
        <f>QUOTIENT(9546318245954,1000000)</f>
        <v>9546318</v>
      </c>
    </row>
    <row r="340" spans="1:8" ht="21.75" customHeight="1" thickBot="1" x14ac:dyDescent="0.2">
      <c r="A340" s="253"/>
      <c r="B340" s="7" t="s">
        <v>1153</v>
      </c>
      <c r="C340" s="6">
        <v>8431</v>
      </c>
      <c r="D340" s="92" t="s">
        <v>2178</v>
      </c>
      <c r="E340" s="92" t="s">
        <v>2178</v>
      </c>
      <c r="F340" s="92" t="s">
        <v>2178</v>
      </c>
      <c r="G340" s="92" t="s">
        <v>2178</v>
      </c>
      <c r="H340" s="93" t="s">
        <v>2178</v>
      </c>
    </row>
    <row r="341" spans="1:8" ht="18" customHeight="1" x14ac:dyDescent="0.15">
      <c r="A341" s="3" t="s">
        <v>1155</v>
      </c>
      <c r="B341" s="2"/>
      <c r="C341" s="2"/>
      <c r="D341" s="2"/>
      <c r="E341" s="2"/>
      <c r="F341" s="2"/>
      <c r="G341" s="2"/>
      <c r="H341" s="2"/>
    </row>
    <row r="342" spans="1:8" ht="18" customHeight="1" x14ac:dyDescent="0.15">
      <c r="A342" s="3" t="s">
        <v>2587</v>
      </c>
      <c r="B342" s="2"/>
      <c r="C342" s="2"/>
      <c r="D342" s="2"/>
      <c r="E342" s="2"/>
      <c r="F342" s="2"/>
      <c r="G342" s="2"/>
      <c r="H342" s="2"/>
    </row>
    <row r="343" spans="1:8" ht="18" customHeight="1" x14ac:dyDescent="0.15">
      <c r="A343" s="3" t="s">
        <v>1156</v>
      </c>
      <c r="B343" s="2"/>
      <c r="C343" s="2"/>
      <c r="D343" s="2"/>
      <c r="E343" s="2"/>
      <c r="F343" s="2"/>
      <c r="G343" s="2"/>
      <c r="H343" s="2"/>
    </row>
    <row r="344" spans="1:8" ht="18" customHeight="1" x14ac:dyDescent="0.15">
      <c r="A344" s="3" t="s">
        <v>2586</v>
      </c>
      <c r="B344" s="2"/>
      <c r="C344" s="2"/>
      <c r="D344" s="2"/>
      <c r="E344" s="2"/>
      <c r="F344" s="2"/>
      <c r="G344" s="2"/>
      <c r="H344" s="2"/>
    </row>
    <row r="345" spans="1:8" ht="24" x14ac:dyDescent="0.15">
      <c r="A345" s="230" t="s">
        <v>2583</v>
      </c>
      <c r="B345" s="230"/>
      <c r="C345" s="230"/>
      <c r="D345" s="230"/>
      <c r="E345" s="230"/>
      <c r="F345" s="230"/>
      <c r="G345" s="230"/>
      <c r="H345" s="230"/>
    </row>
    <row r="346" spans="1:8" ht="18" customHeight="1" x14ac:dyDescent="0.15">
      <c r="A346" s="231"/>
      <c r="B346" s="231"/>
      <c r="C346" s="231"/>
      <c r="D346" s="231"/>
      <c r="E346" s="231"/>
      <c r="F346" s="231"/>
      <c r="G346" s="231"/>
      <c r="H346" s="231"/>
    </row>
    <row r="347" spans="1:8" thickBot="1" x14ac:dyDescent="0.2">
      <c r="A347" s="58" t="s">
        <v>48</v>
      </c>
    </row>
    <row r="348" spans="1:8" ht="18" customHeight="1" x14ac:dyDescent="0.15">
      <c r="A348" s="232" t="s">
        <v>47</v>
      </c>
      <c r="B348" s="235" t="s">
        <v>46</v>
      </c>
      <c r="C348" s="238" t="s">
        <v>45</v>
      </c>
      <c r="D348" s="241" t="s">
        <v>44</v>
      </c>
      <c r="E348" s="189"/>
      <c r="F348" s="56"/>
      <c r="G348" s="56"/>
      <c r="H348" s="55"/>
    </row>
    <row r="349" spans="1:8" ht="18" customHeight="1" x14ac:dyDescent="0.15">
      <c r="A349" s="233"/>
      <c r="B349" s="236"/>
      <c r="C349" s="239"/>
      <c r="D349" s="242"/>
      <c r="E349" s="244" t="s">
        <v>43</v>
      </c>
      <c r="F349" s="246" t="s">
        <v>42</v>
      </c>
      <c r="G349" s="246" t="s">
        <v>41</v>
      </c>
      <c r="H349" s="248" t="s">
        <v>40</v>
      </c>
    </row>
    <row r="350" spans="1:8" ht="18" customHeight="1" thickBot="1" x14ac:dyDescent="0.2">
      <c r="A350" s="234"/>
      <c r="B350" s="237"/>
      <c r="C350" s="240"/>
      <c r="D350" s="243"/>
      <c r="E350" s="245"/>
      <c r="F350" s="247"/>
      <c r="G350" s="247"/>
      <c r="H350" s="249"/>
    </row>
    <row r="351" spans="1:8" s="60" customFormat="1" ht="18" customHeight="1" thickTop="1" x14ac:dyDescent="0.15">
      <c r="A351" s="190"/>
      <c r="B351" s="191"/>
      <c r="C351" s="52"/>
      <c r="D351" s="51" t="s">
        <v>39</v>
      </c>
      <c r="E351" s="50" t="s">
        <v>39</v>
      </c>
      <c r="F351" s="49" t="s">
        <v>39</v>
      </c>
      <c r="G351" s="49" t="s">
        <v>39</v>
      </c>
      <c r="H351" s="48" t="s">
        <v>39</v>
      </c>
    </row>
    <row r="352" spans="1:8" ht="21.75" customHeight="1" x14ac:dyDescent="0.15">
      <c r="A352" s="250" t="s">
        <v>38</v>
      </c>
      <c r="B352" s="61" t="s">
        <v>37</v>
      </c>
      <c r="C352" s="62">
        <v>4002</v>
      </c>
      <c r="D352" s="63">
        <f>QUOTIENT(864609959808537,1000000)</f>
        <v>864609959</v>
      </c>
      <c r="E352" s="63">
        <f>QUOTIENT(308408433260989,1000000)</f>
        <v>308408433</v>
      </c>
      <c r="F352" s="64">
        <f>QUOTIENT(282487815125044,1000000)</f>
        <v>282487815</v>
      </c>
      <c r="G352" s="64">
        <f>QUOTIENT(262175602472768,1000000)</f>
        <v>262175602</v>
      </c>
      <c r="H352" s="65">
        <f>QUOTIENT(11538108949734,1000000)</f>
        <v>11538108</v>
      </c>
    </row>
    <row r="353" spans="1:8" ht="21.75" customHeight="1" x14ac:dyDescent="0.15">
      <c r="A353" s="250"/>
      <c r="B353" s="66" t="s">
        <v>36</v>
      </c>
      <c r="C353" s="67">
        <v>11</v>
      </c>
      <c r="D353" s="68">
        <f>QUOTIENT(34596000,1000000)</f>
        <v>34</v>
      </c>
      <c r="E353" s="68">
        <f>QUOTIENT(34596000,1000000)</f>
        <v>34</v>
      </c>
      <c r="F353" s="69">
        <f>QUOTIENT(0,1000000)</f>
        <v>0</v>
      </c>
      <c r="G353" s="69">
        <f>QUOTIENT(0,1000000)</f>
        <v>0</v>
      </c>
      <c r="H353" s="70">
        <f>QUOTIENT(0,1000000)</f>
        <v>0</v>
      </c>
    </row>
    <row r="354" spans="1:8" ht="21.75" customHeight="1" x14ac:dyDescent="0.15">
      <c r="A354" s="250"/>
      <c r="B354" s="66" t="s">
        <v>35</v>
      </c>
      <c r="C354" s="67">
        <v>116</v>
      </c>
      <c r="D354" s="68">
        <f>QUOTIENT(3646653264,1000000)</f>
        <v>3646</v>
      </c>
      <c r="E354" s="68">
        <f>QUOTIENT(3188110907,1000000)</f>
        <v>3188</v>
      </c>
      <c r="F354" s="69">
        <f>QUOTIENT(203214293,1000000)</f>
        <v>203</v>
      </c>
      <c r="G354" s="69">
        <f>QUOTIENT(201776800,1000000)</f>
        <v>201</v>
      </c>
      <c r="H354" s="70">
        <f>QUOTIENT(53551264,1000000)</f>
        <v>53</v>
      </c>
    </row>
    <row r="355" spans="1:8" ht="21.75" customHeight="1" x14ac:dyDescent="0.15">
      <c r="A355" s="250"/>
      <c r="B355" s="71" t="s">
        <v>34</v>
      </c>
      <c r="C355" s="72">
        <v>1</v>
      </c>
      <c r="D355" s="73">
        <f>QUOTIENT(194194472400,1000000)</f>
        <v>194194</v>
      </c>
      <c r="E355" s="73">
        <f>QUOTIENT(146381395800,1000000)</f>
        <v>146381</v>
      </c>
      <c r="F355" s="74">
        <f>QUOTIENT(9531192000,1000000)</f>
        <v>9531</v>
      </c>
      <c r="G355" s="74">
        <f>QUOTIENT(35456802000,1000000)</f>
        <v>35456</v>
      </c>
      <c r="H355" s="75">
        <f>QUOTIENT(2825082600,1000000)</f>
        <v>2825</v>
      </c>
    </row>
    <row r="356" spans="1:8" ht="21.75" customHeight="1" x14ac:dyDescent="0.15">
      <c r="A356" s="250"/>
      <c r="B356" s="66" t="s">
        <v>33</v>
      </c>
      <c r="C356" s="67">
        <v>65</v>
      </c>
      <c r="D356" s="68">
        <f>QUOTIENT(16036179046900,1000000)</f>
        <v>16036179</v>
      </c>
      <c r="E356" s="68">
        <f>QUOTIENT(4004901014700,1000000)</f>
        <v>4004901</v>
      </c>
      <c r="F356" s="69">
        <f>QUOTIENT(4371337758400,1000000)</f>
        <v>4371337</v>
      </c>
      <c r="G356" s="69">
        <f>QUOTIENT(7484180708250,1000000)</f>
        <v>7484180</v>
      </c>
      <c r="H356" s="70">
        <f>QUOTIENT(175759565550,1000000)</f>
        <v>175759</v>
      </c>
    </row>
    <row r="357" spans="1:8" ht="21.75" customHeight="1" x14ac:dyDescent="0.15">
      <c r="A357" s="250"/>
      <c r="B357" s="76" t="s">
        <v>32</v>
      </c>
      <c r="C357" s="67">
        <v>259</v>
      </c>
      <c r="D357" s="68">
        <f>QUOTIENT(72452127564415,1000000)</f>
        <v>72452127</v>
      </c>
      <c r="E357" s="68">
        <f>QUOTIENT(5399023008423,1000000)</f>
        <v>5399023</v>
      </c>
      <c r="F357" s="69">
        <f>QUOTIENT(2168201420361,1000000)</f>
        <v>2168201</v>
      </c>
      <c r="G357" s="69">
        <f>QUOTIENT(64701598779329,1000000)</f>
        <v>64701598</v>
      </c>
      <c r="H357" s="70">
        <f>QUOTIENT(183304356301,1000000)</f>
        <v>183304</v>
      </c>
    </row>
    <row r="358" spans="1:8" ht="21.75" customHeight="1" x14ac:dyDescent="0.15">
      <c r="A358" s="251"/>
      <c r="B358" s="77" t="s">
        <v>31</v>
      </c>
      <c r="C358" s="72">
        <v>44</v>
      </c>
      <c r="D358" s="73">
        <f>QUOTIENT(499034350158,1000000)</f>
        <v>499034</v>
      </c>
      <c r="E358" s="73">
        <f>QUOTIENT(333044039221,1000000)</f>
        <v>333044</v>
      </c>
      <c r="F358" s="74">
        <f>QUOTIENT(8883912101,1000000)</f>
        <v>8883</v>
      </c>
      <c r="G358" s="74">
        <f>QUOTIENT(144069139092,1000000)</f>
        <v>144069</v>
      </c>
      <c r="H358" s="75">
        <f>QUOTIENT(13037259744,1000000)</f>
        <v>13037</v>
      </c>
    </row>
    <row r="359" spans="1:8" ht="21.75" customHeight="1" x14ac:dyDescent="0.15">
      <c r="A359" s="30" t="s">
        <v>30</v>
      </c>
      <c r="B359" s="78" t="s">
        <v>29</v>
      </c>
      <c r="C359" s="79">
        <v>27</v>
      </c>
      <c r="D359" s="80">
        <f>QUOTIENT(153808550966,1000000)</f>
        <v>153808</v>
      </c>
      <c r="E359" s="80">
        <f>QUOTIENT(139270441623,1000000)</f>
        <v>139270</v>
      </c>
      <c r="F359" s="81">
        <f>QUOTIENT(1066452049,1000000)</f>
        <v>1066</v>
      </c>
      <c r="G359" s="81">
        <f>QUOTIENT(0,1000000)</f>
        <v>0</v>
      </c>
      <c r="H359" s="82">
        <f>QUOTIENT(13471657294,1000000)</f>
        <v>13471</v>
      </c>
    </row>
    <row r="360" spans="1:8" ht="21.75" customHeight="1" x14ac:dyDescent="0.15">
      <c r="A360" s="252" t="s">
        <v>28</v>
      </c>
      <c r="B360" s="17" t="s">
        <v>27</v>
      </c>
      <c r="C360" s="16">
        <v>3505</v>
      </c>
      <c r="D360" s="83">
        <f>QUOTIENT(65207578570000,1000000)</f>
        <v>65207578</v>
      </c>
      <c r="E360" s="83">
        <f>QUOTIENT(10819742380000,1000000)</f>
        <v>10819742</v>
      </c>
      <c r="F360" s="84">
        <f>QUOTIENT(29247913010000,1000000)</f>
        <v>29247913</v>
      </c>
      <c r="G360" s="84">
        <f>QUOTIENT(25008235600000,1000000)</f>
        <v>25008235</v>
      </c>
      <c r="H360" s="85">
        <f>QUOTIENT(131687580000,1000000)</f>
        <v>131687</v>
      </c>
    </row>
    <row r="361" spans="1:8" ht="21.75" customHeight="1" x14ac:dyDescent="0.15">
      <c r="A361" s="250"/>
      <c r="B361" s="23" t="s">
        <v>26</v>
      </c>
      <c r="C361" s="22">
        <v>3484</v>
      </c>
      <c r="D361" s="86">
        <f>QUOTIENT(15062398287000,1000000)</f>
        <v>15062398</v>
      </c>
      <c r="E361" s="86">
        <f>QUOTIENT(517471836000,1000000)</f>
        <v>517471</v>
      </c>
      <c r="F361" s="87">
        <f>QUOTIENT(9820665991000,1000000)</f>
        <v>9820665</v>
      </c>
      <c r="G361" s="87">
        <f>QUOTIENT(4713323460000,1000000)</f>
        <v>4713323</v>
      </c>
      <c r="H361" s="88">
        <f>QUOTIENT(10937000000,1000000)</f>
        <v>10937</v>
      </c>
    </row>
    <row r="362" spans="1:8" ht="21.75" customHeight="1" x14ac:dyDescent="0.15">
      <c r="A362" s="250"/>
      <c r="B362" s="24" t="s">
        <v>25</v>
      </c>
      <c r="C362" s="22">
        <v>549</v>
      </c>
      <c r="D362" s="86">
        <f>QUOTIENT(19043900000000,1000000)</f>
        <v>19043900</v>
      </c>
      <c r="E362" s="86">
        <f>QUOTIENT(1687799600000,1000000)</f>
        <v>1687799</v>
      </c>
      <c r="F362" s="87">
        <f>QUOTIENT(7451281200000,1000000)</f>
        <v>7451281</v>
      </c>
      <c r="G362" s="87">
        <f>QUOTIENT(9862950200000,1000000)</f>
        <v>9862950</v>
      </c>
      <c r="H362" s="88">
        <f>QUOTIENT(41869000000,1000000)</f>
        <v>41869</v>
      </c>
    </row>
    <row r="363" spans="1:8" ht="21.75" customHeight="1" x14ac:dyDescent="0.15">
      <c r="A363" s="250"/>
      <c r="B363" s="23" t="s">
        <v>24</v>
      </c>
      <c r="C363" s="22">
        <v>2143</v>
      </c>
      <c r="D363" s="86">
        <f>QUOTIENT(55721000000000,1000000)</f>
        <v>55721000</v>
      </c>
      <c r="E363" s="86">
        <f>QUOTIENT(8052144680000,1000000)</f>
        <v>8052144</v>
      </c>
      <c r="F363" s="87">
        <f>QUOTIENT(19315225320000,1000000)</f>
        <v>19315225</v>
      </c>
      <c r="G363" s="87">
        <f>QUOTIENT(28343280000000,1000000)</f>
        <v>28343280</v>
      </c>
      <c r="H363" s="88">
        <f>QUOTIENT(10350000000,1000000)</f>
        <v>10350</v>
      </c>
    </row>
    <row r="364" spans="1:8" ht="21.75" customHeight="1" x14ac:dyDescent="0.15">
      <c r="A364" s="250"/>
      <c r="B364" s="23" t="s">
        <v>23</v>
      </c>
      <c r="C364" s="22">
        <v>522</v>
      </c>
      <c r="D364" s="86">
        <f>QUOTIENT(5210905000000,1000000)</f>
        <v>5210905</v>
      </c>
      <c r="E364" s="86">
        <f>QUOTIENT(284455000000,1000000)</f>
        <v>284455</v>
      </c>
      <c r="F364" s="87">
        <f>QUOTIENT(87193200000,1000000)</f>
        <v>87193</v>
      </c>
      <c r="G364" s="87">
        <f>QUOTIENT(4839256800000,1000000)</f>
        <v>4839256</v>
      </c>
      <c r="H364" s="88">
        <f>QUOTIENT(0,1000000)</f>
        <v>0</v>
      </c>
    </row>
    <row r="365" spans="1:8" ht="21.75" customHeight="1" x14ac:dyDescent="0.15">
      <c r="A365" s="250"/>
      <c r="B365" s="23" t="s">
        <v>22</v>
      </c>
      <c r="C365" s="22">
        <v>175</v>
      </c>
      <c r="D365" s="86">
        <f>QUOTIENT(1314900000000,1000000)</f>
        <v>1314900</v>
      </c>
      <c r="E365" s="86">
        <f>QUOTIENT(334870000000,1000000)</f>
        <v>334870</v>
      </c>
      <c r="F365" s="87">
        <f>QUOTIENT(470200000000,1000000)</f>
        <v>470200</v>
      </c>
      <c r="G365" s="87">
        <f>QUOTIENT(509830000000,1000000)</f>
        <v>509830</v>
      </c>
      <c r="H365" s="88">
        <f>QUOTIENT(0,1000000)</f>
        <v>0</v>
      </c>
    </row>
    <row r="366" spans="1:8" ht="21.75" customHeight="1" x14ac:dyDescent="0.15">
      <c r="A366" s="250"/>
      <c r="B366" s="23" t="s">
        <v>21</v>
      </c>
      <c r="C366" s="22">
        <v>19</v>
      </c>
      <c r="D366" s="86">
        <f>QUOTIENT(121410000000,1000000)</f>
        <v>121410</v>
      </c>
      <c r="E366" s="86">
        <f>QUOTIENT(108903000000,1000000)</f>
        <v>108903</v>
      </c>
      <c r="F366" s="87">
        <f>QUOTIENT(6220000000,1000000)</f>
        <v>6220</v>
      </c>
      <c r="G366" s="87">
        <f>QUOTIENT(6287000000,1000000)</f>
        <v>6287</v>
      </c>
      <c r="H366" s="88">
        <f>QUOTIENT(0,1000000)</f>
        <v>0</v>
      </c>
    </row>
    <row r="367" spans="1:8" ht="21.75" customHeight="1" x14ac:dyDescent="0.15">
      <c r="A367" s="250"/>
      <c r="B367" s="23" t="s">
        <v>20</v>
      </c>
      <c r="C367" s="22">
        <v>0</v>
      </c>
      <c r="D367" s="86">
        <f>QUOTIENT(0,1000000)</f>
        <v>0</v>
      </c>
      <c r="E367" s="86">
        <f>QUOTIENT(0,1000000)</f>
        <v>0</v>
      </c>
      <c r="F367" s="87">
        <f>QUOTIENT(0,1000000)</f>
        <v>0</v>
      </c>
      <c r="G367" s="87">
        <f>QUOTIENT(0,1000000)</f>
        <v>0</v>
      </c>
      <c r="H367" s="88">
        <f>QUOTIENT(0,1000000)</f>
        <v>0</v>
      </c>
    </row>
    <row r="368" spans="1:8" ht="21.75" customHeight="1" x14ac:dyDescent="0.15">
      <c r="A368" s="250"/>
      <c r="B368" s="23" t="s">
        <v>19</v>
      </c>
      <c r="C368" s="22">
        <v>203</v>
      </c>
      <c r="D368" s="86">
        <f>QUOTIENT(4864720000000,1000000)</f>
        <v>4864720</v>
      </c>
      <c r="E368" s="86">
        <f>QUOTIENT(563080000000,1000000)</f>
        <v>563080</v>
      </c>
      <c r="F368" s="87">
        <f>QUOTIENT(2588310000000,1000000)</f>
        <v>2588310</v>
      </c>
      <c r="G368" s="87">
        <f>QUOTIENT(1670730000000,1000000)</f>
        <v>1670730</v>
      </c>
      <c r="H368" s="88">
        <f>QUOTIENT(42600000000,1000000)</f>
        <v>42600</v>
      </c>
    </row>
    <row r="369" spans="1:8" ht="21.75" customHeight="1" x14ac:dyDescent="0.15">
      <c r="A369" s="250"/>
      <c r="B369" s="23" t="s">
        <v>18</v>
      </c>
      <c r="C369" s="22">
        <v>4151</v>
      </c>
      <c r="D369" s="86">
        <f>QUOTIENT(88905631500000,1000000)</f>
        <v>88905631</v>
      </c>
      <c r="E369" s="86">
        <f>QUOTIENT(23032192000000,1000000)</f>
        <v>23032192</v>
      </c>
      <c r="F369" s="87">
        <f>QUOTIENT(29345647700000,1000000)</f>
        <v>29345647</v>
      </c>
      <c r="G369" s="87">
        <f>QUOTIENT(35863701100000,1000000)</f>
        <v>35863701</v>
      </c>
      <c r="H369" s="88">
        <f>QUOTIENT(664090700000,1000000)</f>
        <v>664090</v>
      </c>
    </row>
    <row r="370" spans="1:8" ht="21.75" customHeight="1" x14ac:dyDescent="0.15">
      <c r="A370" s="250"/>
      <c r="B370" s="23" t="s">
        <v>17</v>
      </c>
      <c r="C370" s="22">
        <v>809</v>
      </c>
      <c r="D370" s="86">
        <f>QUOTIENT(18421460000000,1000000)</f>
        <v>18421460</v>
      </c>
      <c r="E370" s="86">
        <f>QUOTIENT(4885893300000,1000000)</f>
        <v>4885893</v>
      </c>
      <c r="F370" s="87">
        <f>QUOTIENT(6003970700000,1000000)</f>
        <v>6003970</v>
      </c>
      <c r="G370" s="87">
        <f>QUOTIENT(7457939000000,1000000)</f>
        <v>7457939</v>
      </c>
      <c r="H370" s="88">
        <f>QUOTIENT(73657000000,1000000)</f>
        <v>73657</v>
      </c>
    </row>
    <row r="371" spans="1:8" ht="21.75" customHeight="1" x14ac:dyDescent="0.15">
      <c r="A371" s="250"/>
      <c r="B371" s="23" t="s">
        <v>16</v>
      </c>
      <c r="C371" s="22">
        <v>63002</v>
      </c>
      <c r="D371" s="86">
        <f>QUOTIENT(15117581019000,1000000)</f>
        <v>15117581</v>
      </c>
      <c r="E371" s="86">
        <f>QUOTIENT(4103975845000,1000000)</f>
        <v>4103975</v>
      </c>
      <c r="F371" s="87">
        <f>QUOTIENT(4716143564000,1000000)</f>
        <v>4716143</v>
      </c>
      <c r="G371" s="87">
        <f>QUOTIENT(6269882810000,1000000)</f>
        <v>6269882</v>
      </c>
      <c r="H371" s="88">
        <f>QUOTIENT(27578800000,1000000)</f>
        <v>27578</v>
      </c>
    </row>
    <row r="372" spans="1:8" ht="21.75" customHeight="1" x14ac:dyDescent="0.15">
      <c r="A372" s="250"/>
      <c r="B372" s="23" t="s">
        <v>15</v>
      </c>
      <c r="C372" s="22">
        <v>441</v>
      </c>
      <c r="D372" s="86">
        <f>QUOTIENT(3610004519000,1000000)</f>
        <v>3610004</v>
      </c>
      <c r="E372" s="86">
        <f>QUOTIENT(3092202245000,1000000)</f>
        <v>3092202</v>
      </c>
      <c r="F372" s="87">
        <f>QUOTIENT(452680784000,1000000)</f>
        <v>452680</v>
      </c>
      <c r="G372" s="87">
        <f>QUOTIENT(64876490000,1000000)</f>
        <v>64876</v>
      </c>
      <c r="H372" s="88">
        <f>QUOTIENT(245000000,1000000)</f>
        <v>245</v>
      </c>
    </row>
    <row r="373" spans="1:8" ht="21.75" customHeight="1" x14ac:dyDescent="0.15">
      <c r="A373" s="250"/>
      <c r="B373" s="23" t="s">
        <v>14</v>
      </c>
      <c r="C373" s="22">
        <v>31</v>
      </c>
      <c r="D373" s="86">
        <f>QUOTIENT(89700000000,1000000)</f>
        <v>89700</v>
      </c>
      <c r="E373" s="86">
        <f>QUOTIENT(18000000000,1000000)</f>
        <v>18000</v>
      </c>
      <c r="F373" s="87">
        <f>QUOTIENT(52200000000,1000000)</f>
        <v>52200</v>
      </c>
      <c r="G373" s="87">
        <f>QUOTIENT(19500000000,1000000)</f>
        <v>19500</v>
      </c>
      <c r="H373" s="88">
        <f>QUOTIENT(0,1000000)</f>
        <v>0</v>
      </c>
    </row>
    <row r="374" spans="1:8" ht="21.75" customHeight="1" x14ac:dyDescent="0.15">
      <c r="A374" s="250"/>
      <c r="B374" s="23" t="s">
        <v>13</v>
      </c>
      <c r="C374" s="22">
        <v>859</v>
      </c>
      <c r="D374" s="86">
        <f>QUOTIENT(3090234716000,1000000)</f>
        <v>3090234</v>
      </c>
      <c r="E374" s="86">
        <f>QUOTIENT(168399340000,1000000)</f>
        <v>168399</v>
      </c>
      <c r="F374" s="87">
        <f>QUOTIENT(1637166826000,1000000)</f>
        <v>1637166</v>
      </c>
      <c r="G374" s="87">
        <f>QUOTIENT(1284568550000,1000000)</f>
        <v>1284568</v>
      </c>
      <c r="H374" s="88">
        <f>QUOTIENT(100000000,1000000)</f>
        <v>100</v>
      </c>
    </row>
    <row r="375" spans="1:8" ht="21.75" customHeight="1" x14ac:dyDescent="0.15">
      <c r="A375" s="250"/>
      <c r="B375" s="23" t="s">
        <v>12</v>
      </c>
      <c r="C375" s="22">
        <v>290</v>
      </c>
      <c r="D375" s="86">
        <f>QUOTIENT(6976000000000,1000000)</f>
        <v>6976000</v>
      </c>
      <c r="E375" s="86">
        <f>QUOTIENT(1229396000000,1000000)</f>
        <v>1229396</v>
      </c>
      <c r="F375" s="87">
        <f>QUOTIENT(2099042000000,1000000)</f>
        <v>2099042</v>
      </c>
      <c r="G375" s="87">
        <f>QUOTIENT(3617962000000,1000000)</f>
        <v>3617962</v>
      </c>
      <c r="H375" s="88">
        <f>QUOTIENT(29600000000,1000000)</f>
        <v>29600</v>
      </c>
    </row>
    <row r="376" spans="1:8" ht="21.75" customHeight="1" x14ac:dyDescent="0.15">
      <c r="A376" s="250"/>
      <c r="B376" s="23" t="s">
        <v>11</v>
      </c>
      <c r="C376" s="22">
        <v>68</v>
      </c>
      <c r="D376" s="86">
        <f>QUOTIENT(1278650000000,1000000)</f>
        <v>1278650</v>
      </c>
      <c r="E376" s="86">
        <f>QUOTIENT(134900000000,1000000)</f>
        <v>134900</v>
      </c>
      <c r="F376" s="87">
        <f>QUOTIENT(532750000000,1000000)</f>
        <v>532750</v>
      </c>
      <c r="G376" s="87">
        <f>QUOTIENT(611000000000,1000000)</f>
        <v>611000</v>
      </c>
      <c r="H376" s="88">
        <f>QUOTIENT(0,1000000)</f>
        <v>0</v>
      </c>
    </row>
    <row r="377" spans="1:8" ht="21.75" customHeight="1" x14ac:dyDescent="0.15">
      <c r="A377" s="250"/>
      <c r="B377" s="23" t="s">
        <v>10</v>
      </c>
      <c r="C377" s="22">
        <v>0</v>
      </c>
      <c r="D377" s="86">
        <f t="shared" ref="D377:G379" si="14">QUOTIENT(0,1000000)</f>
        <v>0</v>
      </c>
      <c r="E377" s="86">
        <f t="shared" si="14"/>
        <v>0</v>
      </c>
      <c r="F377" s="87">
        <f t="shared" si="14"/>
        <v>0</v>
      </c>
      <c r="G377" s="87">
        <f t="shared" si="14"/>
        <v>0</v>
      </c>
      <c r="H377" s="88">
        <f>QUOTIENT(0,1000000)</f>
        <v>0</v>
      </c>
    </row>
    <row r="378" spans="1:8" ht="21.75" customHeight="1" x14ac:dyDescent="0.15">
      <c r="A378" s="250"/>
      <c r="B378" s="23" t="s">
        <v>9</v>
      </c>
      <c r="C378" s="22">
        <v>0</v>
      </c>
      <c r="D378" s="86">
        <f t="shared" si="14"/>
        <v>0</v>
      </c>
      <c r="E378" s="86">
        <f t="shared" si="14"/>
        <v>0</v>
      </c>
      <c r="F378" s="87">
        <f t="shared" si="14"/>
        <v>0</v>
      </c>
      <c r="G378" s="87">
        <f t="shared" si="14"/>
        <v>0</v>
      </c>
      <c r="H378" s="88">
        <f>QUOTIENT(0,1000000)</f>
        <v>0</v>
      </c>
    </row>
    <row r="379" spans="1:8" ht="21.75" customHeight="1" x14ac:dyDescent="0.15">
      <c r="A379" s="250"/>
      <c r="B379" s="23" t="s">
        <v>8</v>
      </c>
      <c r="C379" s="22">
        <v>0</v>
      </c>
      <c r="D379" s="86">
        <f t="shared" si="14"/>
        <v>0</v>
      </c>
      <c r="E379" s="86">
        <f t="shared" si="14"/>
        <v>0</v>
      </c>
      <c r="F379" s="87">
        <f t="shared" si="14"/>
        <v>0</v>
      </c>
      <c r="G379" s="87">
        <f t="shared" si="14"/>
        <v>0</v>
      </c>
      <c r="H379" s="88">
        <f>QUOTIENT(0,1000000)</f>
        <v>0</v>
      </c>
    </row>
    <row r="380" spans="1:8" ht="21.75" customHeight="1" x14ac:dyDescent="0.15">
      <c r="A380" s="251"/>
      <c r="B380" s="23" t="s">
        <v>7</v>
      </c>
      <c r="C380" s="22">
        <v>91</v>
      </c>
      <c r="D380" s="86">
        <f>QUOTIENT(7320000000,1000000)</f>
        <v>7320</v>
      </c>
      <c r="E380" s="86">
        <f>QUOTIENT(0,1000000)</f>
        <v>0</v>
      </c>
      <c r="F380" s="87">
        <f>QUOTIENT(0,1000000)</f>
        <v>0</v>
      </c>
      <c r="G380" s="87">
        <f>QUOTIENT(7320000000,1000000)</f>
        <v>7320</v>
      </c>
      <c r="H380" s="88">
        <f>QUOTIENT(0,1000000)</f>
        <v>0</v>
      </c>
    </row>
    <row r="381" spans="1:8" ht="21.75" customHeight="1" x14ac:dyDescent="0.15">
      <c r="A381" s="18" t="s">
        <v>6</v>
      </c>
      <c r="B381" s="17" t="s">
        <v>5</v>
      </c>
      <c r="C381" s="16">
        <v>3316</v>
      </c>
      <c r="D381" s="80">
        <v>27917058</v>
      </c>
      <c r="E381" s="80">
        <v>843900</v>
      </c>
      <c r="F381" s="81">
        <v>12824786</v>
      </c>
      <c r="G381" s="81">
        <v>11373242</v>
      </c>
      <c r="H381" s="82">
        <v>2875130</v>
      </c>
    </row>
    <row r="382" spans="1:8" ht="21.75" customHeight="1" x14ac:dyDescent="0.15">
      <c r="A382" s="252" t="s">
        <v>4</v>
      </c>
      <c r="B382" s="12" t="s">
        <v>3</v>
      </c>
      <c r="C382" s="11">
        <v>5663</v>
      </c>
      <c r="D382" s="89">
        <f>QUOTIENT(116113675773008,1000000)</f>
        <v>116113675</v>
      </c>
      <c r="E382" s="89">
        <f>QUOTIENT(73585935212350,1000000)</f>
        <v>73585935</v>
      </c>
      <c r="F382" s="90">
        <f>QUOTIENT(19538493026272,1000000)</f>
        <v>19538493</v>
      </c>
      <c r="G382" s="90">
        <f>QUOTIENT(13617058985940,1000000)</f>
        <v>13617058</v>
      </c>
      <c r="H382" s="91">
        <f>QUOTIENT(9372188548446,1000000)</f>
        <v>9372188</v>
      </c>
    </row>
    <row r="383" spans="1:8" ht="21.75" customHeight="1" thickBot="1" x14ac:dyDescent="0.2">
      <c r="A383" s="253"/>
      <c r="B383" s="7" t="s">
        <v>1153</v>
      </c>
      <c r="C383" s="6">
        <v>8423</v>
      </c>
      <c r="D383" s="92" t="s">
        <v>2178</v>
      </c>
      <c r="E383" s="92" t="s">
        <v>2178</v>
      </c>
      <c r="F383" s="92" t="s">
        <v>2178</v>
      </c>
      <c r="G383" s="92" t="s">
        <v>2178</v>
      </c>
      <c r="H383" s="93" t="s">
        <v>2178</v>
      </c>
    </row>
    <row r="384" spans="1:8" ht="18" customHeight="1" x14ac:dyDescent="0.15">
      <c r="A384" s="3" t="s">
        <v>1155</v>
      </c>
      <c r="B384" s="2"/>
      <c r="C384" s="2"/>
      <c r="D384" s="2"/>
      <c r="E384" s="2"/>
      <c r="F384" s="2"/>
      <c r="G384" s="2"/>
      <c r="H384" s="2"/>
    </row>
    <row r="385" spans="1:8" ht="18" customHeight="1" x14ac:dyDescent="0.15">
      <c r="A385" s="3" t="s">
        <v>2587</v>
      </c>
      <c r="B385" s="2"/>
      <c r="C385" s="2"/>
      <c r="D385" s="2"/>
      <c r="E385" s="2"/>
      <c r="F385" s="2"/>
      <c r="G385" s="2"/>
      <c r="H385" s="2"/>
    </row>
    <row r="386" spans="1:8" ht="18" customHeight="1" x14ac:dyDescent="0.15">
      <c r="A386" s="3" t="s">
        <v>1156</v>
      </c>
      <c r="B386" s="2"/>
      <c r="C386" s="2"/>
      <c r="D386" s="2"/>
      <c r="E386" s="2"/>
      <c r="F386" s="2"/>
      <c r="G386" s="2"/>
      <c r="H386" s="2"/>
    </row>
    <row r="387" spans="1:8" ht="18" customHeight="1" x14ac:dyDescent="0.15">
      <c r="A387" s="3" t="s">
        <v>2584</v>
      </c>
      <c r="B387" s="2"/>
      <c r="C387" s="2"/>
      <c r="D387" s="2"/>
      <c r="E387" s="2"/>
      <c r="F387" s="2"/>
      <c r="G387" s="2"/>
      <c r="H387" s="2"/>
    </row>
    <row r="388" spans="1:8" ht="24" x14ac:dyDescent="0.15">
      <c r="A388" s="230" t="s">
        <v>2581</v>
      </c>
      <c r="B388" s="230"/>
      <c r="C388" s="230"/>
      <c r="D388" s="230"/>
      <c r="E388" s="230"/>
      <c r="F388" s="230"/>
      <c r="G388" s="230"/>
      <c r="H388" s="230"/>
    </row>
    <row r="389" spans="1:8" ht="18" customHeight="1" x14ac:dyDescent="0.15">
      <c r="A389" s="231"/>
      <c r="B389" s="231"/>
      <c r="C389" s="231"/>
      <c r="D389" s="231"/>
      <c r="E389" s="231"/>
      <c r="F389" s="231"/>
      <c r="G389" s="231"/>
      <c r="H389" s="231"/>
    </row>
    <row r="390" spans="1:8" thickBot="1" x14ac:dyDescent="0.2">
      <c r="A390" s="58" t="s">
        <v>48</v>
      </c>
    </row>
    <row r="391" spans="1:8" ht="18" customHeight="1" x14ac:dyDescent="0.15">
      <c r="A391" s="232" t="s">
        <v>47</v>
      </c>
      <c r="B391" s="235" t="s">
        <v>46</v>
      </c>
      <c r="C391" s="238" t="s">
        <v>45</v>
      </c>
      <c r="D391" s="241" t="s">
        <v>44</v>
      </c>
      <c r="E391" s="186"/>
      <c r="F391" s="56"/>
      <c r="G391" s="56"/>
      <c r="H391" s="55"/>
    </row>
    <row r="392" spans="1:8" ht="18" customHeight="1" x14ac:dyDescent="0.15">
      <c r="A392" s="233"/>
      <c r="B392" s="236"/>
      <c r="C392" s="239"/>
      <c r="D392" s="242"/>
      <c r="E392" s="244" t="s">
        <v>43</v>
      </c>
      <c r="F392" s="246" t="s">
        <v>42</v>
      </c>
      <c r="G392" s="246" t="s">
        <v>41</v>
      </c>
      <c r="H392" s="248" t="s">
        <v>40</v>
      </c>
    </row>
    <row r="393" spans="1:8" ht="18" customHeight="1" thickBot="1" x14ac:dyDescent="0.2">
      <c r="A393" s="234"/>
      <c r="B393" s="237"/>
      <c r="C393" s="240"/>
      <c r="D393" s="243"/>
      <c r="E393" s="245"/>
      <c r="F393" s="247"/>
      <c r="G393" s="247"/>
      <c r="H393" s="249"/>
    </row>
    <row r="394" spans="1:8" s="60" customFormat="1" ht="18" customHeight="1" thickTop="1" x14ac:dyDescent="0.15">
      <c r="A394" s="187"/>
      <c r="B394" s="188"/>
      <c r="C394" s="52"/>
      <c r="D394" s="51" t="s">
        <v>39</v>
      </c>
      <c r="E394" s="50" t="s">
        <v>39</v>
      </c>
      <c r="F394" s="49" t="s">
        <v>39</v>
      </c>
      <c r="G394" s="49" t="s">
        <v>39</v>
      </c>
      <c r="H394" s="48" t="s">
        <v>39</v>
      </c>
    </row>
    <row r="395" spans="1:8" ht="21.75" customHeight="1" x14ac:dyDescent="0.15">
      <c r="A395" s="250" t="s">
        <v>38</v>
      </c>
      <c r="B395" s="61" t="s">
        <v>37</v>
      </c>
      <c r="C395" s="62">
        <v>3990</v>
      </c>
      <c r="D395" s="63">
        <f>QUOTIENT(836585470440548,1000000)</f>
        <v>836585470</v>
      </c>
      <c r="E395" s="63">
        <f>QUOTIENT(298338721244568,1000000)</f>
        <v>298338721</v>
      </c>
      <c r="F395" s="64">
        <f>QUOTIENT(274860359496074,1000000)</f>
        <v>274860359</v>
      </c>
      <c r="G395" s="64">
        <f>QUOTIENT(251474881747191,1000000)</f>
        <v>251474881</v>
      </c>
      <c r="H395" s="65">
        <f>QUOTIENT(11911507952713,1000000)</f>
        <v>11911507</v>
      </c>
    </row>
    <row r="396" spans="1:8" ht="21.75" customHeight="1" x14ac:dyDescent="0.15">
      <c r="A396" s="250"/>
      <c r="B396" s="66" t="s">
        <v>36</v>
      </c>
      <c r="C396" s="67">
        <v>14</v>
      </c>
      <c r="D396" s="68">
        <f>QUOTIENT(15591133500,1000000)</f>
        <v>15591</v>
      </c>
      <c r="E396" s="68">
        <f>QUOTIENT(11104352000,1000000)</f>
        <v>11104</v>
      </c>
      <c r="F396" s="69">
        <f>QUOTIENT(4160100000,1000000)</f>
        <v>4160</v>
      </c>
      <c r="G396" s="69">
        <f>QUOTIENT(325688000,1000000)</f>
        <v>325</v>
      </c>
      <c r="H396" s="115">
        <f>QUOTIENT(993500,1000000)</f>
        <v>0</v>
      </c>
    </row>
    <row r="397" spans="1:8" ht="21.75" customHeight="1" x14ac:dyDescent="0.15">
      <c r="A397" s="250"/>
      <c r="B397" s="66" t="s">
        <v>35</v>
      </c>
      <c r="C397" s="67">
        <v>117</v>
      </c>
      <c r="D397" s="68">
        <f>QUOTIENT(0,1000000)</f>
        <v>0</v>
      </c>
      <c r="E397" s="68">
        <f>QUOTIENT(0,1000000)</f>
        <v>0</v>
      </c>
      <c r="F397" s="69">
        <f>QUOTIENT(0,1000000)</f>
        <v>0</v>
      </c>
      <c r="G397" s="69">
        <f>QUOTIENT(0,1000000)</f>
        <v>0</v>
      </c>
      <c r="H397" s="70">
        <f>QUOTIENT(0,1000000)</f>
        <v>0</v>
      </c>
    </row>
    <row r="398" spans="1:8" ht="21.75" customHeight="1" x14ac:dyDescent="0.15">
      <c r="A398" s="250"/>
      <c r="B398" s="71" t="s">
        <v>34</v>
      </c>
      <c r="C398" s="72">
        <v>1</v>
      </c>
      <c r="D398" s="73">
        <f>QUOTIENT(193202961600,1000000)</f>
        <v>193202</v>
      </c>
      <c r="E398" s="73">
        <f>QUOTIENT(145628278400,1000000)</f>
        <v>145628</v>
      </c>
      <c r="F398" s="74">
        <f>QUOTIENT(9482528000,1000000)</f>
        <v>9482</v>
      </c>
      <c r="G398" s="74">
        <f>QUOTIENT(35277677600,1000000)</f>
        <v>35277</v>
      </c>
      <c r="H398" s="75">
        <f>QUOTIENT(2814477600,1000000)</f>
        <v>2814</v>
      </c>
    </row>
    <row r="399" spans="1:8" ht="21.75" customHeight="1" x14ac:dyDescent="0.15">
      <c r="A399" s="250"/>
      <c r="B399" s="66" t="s">
        <v>33</v>
      </c>
      <c r="C399" s="67">
        <v>65</v>
      </c>
      <c r="D399" s="68">
        <f>QUOTIENT(15865032969300,1000000)</f>
        <v>15865032</v>
      </c>
      <c r="E399" s="68">
        <f>QUOTIENT(3899531666800,1000000)</f>
        <v>3899531</v>
      </c>
      <c r="F399" s="69">
        <f>QUOTIENT(4337534353900,1000000)</f>
        <v>4337534</v>
      </c>
      <c r="G399" s="69">
        <f>QUOTIENT(7459006069700,1000000)</f>
        <v>7459006</v>
      </c>
      <c r="H399" s="70">
        <f>QUOTIENT(168960878900,1000000)</f>
        <v>168960</v>
      </c>
    </row>
    <row r="400" spans="1:8" ht="21.75" customHeight="1" x14ac:dyDescent="0.15">
      <c r="A400" s="250"/>
      <c r="B400" s="76" t="s">
        <v>32</v>
      </c>
      <c r="C400" s="67">
        <v>258</v>
      </c>
      <c r="D400" s="68">
        <f>QUOTIENT(72812887909164,1000000)</f>
        <v>72812887</v>
      </c>
      <c r="E400" s="68">
        <f>QUOTIENT(5341491784033,1000000)</f>
        <v>5341491</v>
      </c>
      <c r="F400" s="69">
        <f>QUOTIENT(2056157131662,1000000)</f>
        <v>2056157</v>
      </c>
      <c r="G400" s="69">
        <f>QUOTIENT(65234677011781,1000000)</f>
        <v>65234677</v>
      </c>
      <c r="H400" s="70">
        <f>QUOTIENT(180561981687,1000000)</f>
        <v>180561</v>
      </c>
    </row>
    <row r="401" spans="1:8" ht="21.75" customHeight="1" x14ac:dyDescent="0.15">
      <c r="A401" s="251"/>
      <c r="B401" s="77" t="s">
        <v>31</v>
      </c>
      <c r="C401" s="72">
        <v>44</v>
      </c>
      <c r="D401" s="73">
        <f>QUOTIENT(499864674403,1000000)</f>
        <v>499864</v>
      </c>
      <c r="E401" s="73">
        <f>QUOTIENT(338332574461,1000000)</f>
        <v>338332</v>
      </c>
      <c r="F401" s="74">
        <f>QUOTIENT(7423434949,1000000)</f>
        <v>7423</v>
      </c>
      <c r="G401" s="74">
        <f>QUOTIENT(141115668018,1000000)</f>
        <v>141115</v>
      </c>
      <c r="H401" s="75">
        <f>QUOTIENT(12992996975,1000000)</f>
        <v>12992</v>
      </c>
    </row>
    <row r="402" spans="1:8" ht="21.75" customHeight="1" x14ac:dyDescent="0.15">
      <c r="A402" s="30" t="s">
        <v>30</v>
      </c>
      <c r="B402" s="78" t="s">
        <v>29</v>
      </c>
      <c r="C402" s="79">
        <v>27</v>
      </c>
      <c r="D402" s="80">
        <f>QUOTIENT(152004344173,1000000)</f>
        <v>152004</v>
      </c>
      <c r="E402" s="80">
        <f>QUOTIENT(138190671150,1000000)</f>
        <v>138190</v>
      </c>
      <c r="F402" s="81">
        <f>QUOTIENT(572266498,1000000)</f>
        <v>572</v>
      </c>
      <c r="G402" s="81">
        <f>QUOTIENT(0,1000000)</f>
        <v>0</v>
      </c>
      <c r="H402" s="82">
        <f>QUOTIENT(13241406525,1000000)</f>
        <v>13241</v>
      </c>
    </row>
    <row r="403" spans="1:8" ht="21.75" customHeight="1" x14ac:dyDescent="0.15">
      <c r="A403" s="252" t="s">
        <v>28</v>
      </c>
      <c r="B403" s="17" t="s">
        <v>27</v>
      </c>
      <c r="C403" s="16">
        <v>3489</v>
      </c>
      <c r="D403" s="83">
        <f>QUOTIENT(65099578570000,1000000)</f>
        <v>65099578</v>
      </c>
      <c r="E403" s="83">
        <f>QUOTIENT(10769065690000,1000000)</f>
        <v>10769065</v>
      </c>
      <c r="F403" s="84">
        <f>QUOTIENT(29285518190000,1000000)</f>
        <v>29285518</v>
      </c>
      <c r="G403" s="84">
        <f>QUOTIENT(24918136110000,1000000)</f>
        <v>24918136</v>
      </c>
      <c r="H403" s="85">
        <f>QUOTIENT(126858580000,1000000)</f>
        <v>126858</v>
      </c>
    </row>
    <row r="404" spans="1:8" ht="21.75" customHeight="1" x14ac:dyDescent="0.15">
      <c r="A404" s="250"/>
      <c r="B404" s="23" t="s">
        <v>26</v>
      </c>
      <c r="C404" s="22">
        <v>3487</v>
      </c>
      <c r="D404" s="86">
        <f>QUOTIENT(15067240287000,1000000)</f>
        <v>15067240</v>
      </c>
      <c r="E404" s="86">
        <f>QUOTIENT(534957936000,1000000)</f>
        <v>534957</v>
      </c>
      <c r="F404" s="87">
        <f>QUOTIENT(9821014883000,1000000)</f>
        <v>9821014</v>
      </c>
      <c r="G404" s="87">
        <f>QUOTIENT(4700330468000,1000000)</f>
        <v>4700330</v>
      </c>
      <c r="H404" s="88">
        <f>QUOTIENT(10937000000,1000000)</f>
        <v>10937</v>
      </c>
    </row>
    <row r="405" spans="1:8" ht="21.75" customHeight="1" x14ac:dyDescent="0.15">
      <c r="A405" s="250"/>
      <c r="B405" s="24" t="s">
        <v>25</v>
      </c>
      <c r="C405" s="22">
        <v>550</v>
      </c>
      <c r="D405" s="86">
        <f>QUOTIENT(19238900000000,1000000)</f>
        <v>19238900</v>
      </c>
      <c r="E405" s="86">
        <f>QUOTIENT(1683640300000,1000000)</f>
        <v>1683640</v>
      </c>
      <c r="F405" s="87">
        <f>QUOTIENT(7614283700000,1000000)</f>
        <v>7614283</v>
      </c>
      <c r="G405" s="87">
        <f>QUOTIENT(9902307000000,1000000)</f>
        <v>9902307</v>
      </c>
      <c r="H405" s="88">
        <f>QUOTIENT(38669000000,1000000)</f>
        <v>38669</v>
      </c>
    </row>
    <row r="406" spans="1:8" ht="21.75" customHeight="1" x14ac:dyDescent="0.15">
      <c r="A406" s="250"/>
      <c r="B406" s="23" t="s">
        <v>24</v>
      </c>
      <c r="C406" s="22">
        <v>2122</v>
      </c>
      <c r="D406" s="86">
        <f>QUOTIENT(55361400000000,1000000)</f>
        <v>55361400</v>
      </c>
      <c r="E406" s="86">
        <f>QUOTIENT(7902094680000,1000000)</f>
        <v>7902094</v>
      </c>
      <c r="F406" s="87">
        <f>QUOTIENT(19244475320000,1000000)</f>
        <v>19244475</v>
      </c>
      <c r="G406" s="87">
        <f>QUOTIENT(28204480000000,1000000)</f>
        <v>28204480</v>
      </c>
      <c r="H406" s="88">
        <f>QUOTIENT(10350000000,1000000)</f>
        <v>10350</v>
      </c>
    </row>
    <row r="407" spans="1:8" ht="21.75" customHeight="1" x14ac:dyDescent="0.15">
      <c r="A407" s="250"/>
      <c r="B407" s="23" t="s">
        <v>23</v>
      </c>
      <c r="C407" s="22">
        <v>522</v>
      </c>
      <c r="D407" s="86">
        <f>QUOTIENT(5195760000000,1000000)</f>
        <v>5195760</v>
      </c>
      <c r="E407" s="86">
        <f>QUOTIENT(291613500000,1000000)</f>
        <v>291613</v>
      </c>
      <c r="F407" s="87">
        <f>QUOTIENT(88339100000,1000000)</f>
        <v>88339</v>
      </c>
      <c r="G407" s="87">
        <f>QUOTIENT(4815807400000,1000000)</f>
        <v>4815807</v>
      </c>
      <c r="H407" s="88">
        <f>QUOTIENT(0,1000000)</f>
        <v>0</v>
      </c>
    </row>
    <row r="408" spans="1:8" ht="21.75" customHeight="1" x14ac:dyDescent="0.15">
      <c r="A408" s="250"/>
      <c r="B408" s="23" t="s">
        <v>22</v>
      </c>
      <c r="C408" s="22">
        <v>175</v>
      </c>
      <c r="D408" s="86">
        <f>QUOTIENT(1314900000000,1000000)</f>
        <v>1314900</v>
      </c>
      <c r="E408" s="86">
        <f>QUOTIENT(332970000000,1000000)</f>
        <v>332970</v>
      </c>
      <c r="F408" s="87">
        <f>QUOTIENT(472000000000,1000000)</f>
        <v>472000</v>
      </c>
      <c r="G408" s="87">
        <f>QUOTIENT(509930000000,1000000)</f>
        <v>509930</v>
      </c>
      <c r="H408" s="88">
        <f>QUOTIENT(0,1000000)</f>
        <v>0</v>
      </c>
    </row>
    <row r="409" spans="1:8" ht="21.75" customHeight="1" x14ac:dyDescent="0.15">
      <c r="A409" s="250"/>
      <c r="B409" s="23" t="s">
        <v>21</v>
      </c>
      <c r="C409" s="22">
        <v>19</v>
      </c>
      <c r="D409" s="86">
        <f>QUOTIENT(121410000000,1000000)</f>
        <v>121410</v>
      </c>
      <c r="E409" s="86">
        <f>QUOTIENT(108903000000,1000000)</f>
        <v>108903</v>
      </c>
      <c r="F409" s="87">
        <f>QUOTIENT(6220000000,1000000)</f>
        <v>6220</v>
      </c>
      <c r="G409" s="87">
        <f>QUOTIENT(6287000000,1000000)</f>
        <v>6287</v>
      </c>
      <c r="H409" s="88">
        <f>QUOTIENT(0,1000000)</f>
        <v>0</v>
      </c>
    </row>
    <row r="410" spans="1:8" ht="21.75" customHeight="1" x14ac:dyDescent="0.15">
      <c r="A410" s="250"/>
      <c r="B410" s="23" t="s">
        <v>20</v>
      </c>
      <c r="C410" s="22">
        <v>0</v>
      </c>
      <c r="D410" s="86">
        <f>QUOTIENT(0,1000000)</f>
        <v>0</v>
      </c>
      <c r="E410" s="86">
        <f>QUOTIENT(0,1000000)</f>
        <v>0</v>
      </c>
      <c r="F410" s="87">
        <f>QUOTIENT(0,1000000)</f>
        <v>0</v>
      </c>
      <c r="G410" s="87">
        <f>QUOTIENT(0,1000000)</f>
        <v>0</v>
      </c>
      <c r="H410" s="88">
        <f>QUOTIENT(0,1000000)</f>
        <v>0</v>
      </c>
    </row>
    <row r="411" spans="1:8" ht="21.75" customHeight="1" x14ac:dyDescent="0.15">
      <c r="A411" s="250"/>
      <c r="B411" s="23" t="s">
        <v>19</v>
      </c>
      <c r="C411" s="22">
        <v>204</v>
      </c>
      <c r="D411" s="86">
        <f>QUOTIENT(4910490000000,1000000)</f>
        <v>4910490</v>
      </c>
      <c r="E411" s="86">
        <f>QUOTIENT(562140000000,1000000)</f>
        <v>562140</v>
      </c>
      <c r="F411" s="87">
        <f>QUOTIENT(2583750000000,1000000)</f>
        <v>2583750</v>
      </c>
      <c r="G411" s="87">
        <f>QUOTIENT(1609270000000,1000000)</f>
        <v>1609270</v>
      </c>
      <c r="H411" s="88">
        <f>QUOTIENT(155330000000,1000000)</f>
        <v>155330</v>
      </c>
    </row>
    <row r="412" spans="1:8" ht="21.75" customHeight="1" x14ac:dyDescent="0.15">
      <c r="A412" s="250"/>
      <c r="B412" s="23" t="s">
        <v>18</v>
      </c>
      <c r="C412" s="22">
        <v>4137</v>
      </c>
      <c r="D412" s="86">
        <f>QUOTIENT(87550318500000,1000000)</f>
        <v>87550318</v>
      </c>
      <c r="E412" s="86">
        <f>QUOTIENT(22549587200000,1000000)</f>
        <v>22549587</v>
      </c>
      <c r="F412" s="87">
        <f>QUOTIENT(29267405800000,1000000)</f>
        <v>29267405</v>
      </c>
      <c r="G412" s="87">
        <f>QUOTIENT(35084778800000,1000000)</f>
        <v>35084778</v>
      </c>
      <c r="H412" s="88">
        <f>QUOTIENT(648546700000,1000000)</f>
        <v>648546</v>
      </c>
    </row>
    <row r="413" spans="1:8" ht="21.75" customHeight="1" x14ac:dyDescent="0.15">
      <c r="A413" s="250"/>
      <c r="B413" s="23" t="s">
        <v>17</v>
      </c>
      <c r="C413" s="22">
        <v>794</v>
      </c>
      <c r="D413" s="86">
        <f>QUOTIENT(18128460000000,1000000)</f>
        <v>18128460</v>
      </c>
      <c r="E413" s="86">
        <f>QUOTIENT(4748619700000,1000000)</f>
        <v>4748619</v>
      </c>
      <c r="F413" s="87">
        <f>QUOTIENT(5949472500000,1000000)</f>
        <v>5949472</v>
      </c>
      <c r="G413" s="87">
        <f>QUOTIENT(7356920800000,1000000)</f>
        <v>7356920</v>
      </c>
      <c r="H413" s="88">
        <f>QUOTIENT(73447000000,1000000)</f>
        <v>73447</v>
      </c>
    </row>
    <row r="414" spans="1:8" ht="21.75" customHeight="1" x14ac:dyDescent="0.15">
      <c r="A414" s="250"/>
      <c r="B414" s="23" t="s">
        <v>16</v>
      </c>
      <c r="C414" s="22">
        <v>63107</v>
      </c>
      <c r="D414" s="86">
        <f>QUOTIENT(15148937419000,1000000)</f>
        <v>15148937</v>
      </c>
      <c r="E414" s="86">
        <f>QUOTIENT(4127460845000,1000000)</f>
        <v>4127460</v>
      </c>
      <c r="F414" s="87">
        <f>QUOTIENT(4724735564000,1000000)</f>
        <v>4724735</v>
      </c>
      <c r="G414" s="87">
        <f>QUOTIENT(6269255210000,1000000)</f>
        <v>6269255</v>
      </c>
      <c r="H414" s="88">
        <f>QUOTIENT(27485800000,1000000)</f>
        <v>27485</v>
      </c>
    </row>
    <row r="415" spans="1:8" ht="21.75" customHeight="1" x14ac:dyDescent="0.15">
      <c r="A415" s="250"/>
      <c r="B415" s="23" t="s">
        <v>15</v>
      </c>
      <c r="C415" s="22">
        <v>442</v>
      </c>
      <c r="D415" s="86">
        <f>QUOTIENT(3630889519000,1000000)</f>
        <v>3630889</v>
      </c>
      <c r="E415" s="86">
        <f>QUOTIENT(3113087245000,1000000)</f>
        <v>3113087</v>
      </c>
      <c r="F415" s="87">
        <f>QUOTIENT(452680784000,1000000)</f>
        <v>452680</v>
      </c>
      <c r="G415" s="87">
        <f>QUOTIENT(64876490000,1000000)</f>
        <v>64876</v>
      </c>
      <c r="H415" s="88">
        <f>QUOTIENT(245000000,1000000)</f>
        <v>245</v>
      </c>
    </row>
    <row r="416" spans="1:8" ht="21.75" customHeight="1" x14ac:dyDescent="0.15">
      <c r="A416" s="250"/>
      <c r="B416" s="23" t="s">
        <v>14</v>
      </c>
      <c r="C416" s="22">
        <v>31</v>
      </c>
      <c r="D416" s="86">
        <f>QUOTIENT(89700000000,1000000)</f>
        <v>89700</v>
      </c>
      <c r="E416" s="86">
        <f>QUOTIENT(18000000000,1000000)</f>
        <v>18000</v>
      </c>
      <c r="F416" s="87">
        <f>QUOTIENT(51800000000,1000000)</f>
        <v>51800</v>
      </c>
      <c r="G416" s="87">
        <f>QUOTIENT(19900000000,1000000)</f>
        <v>19900</v>
      </c>
      <c r="H416" s="88">
        <f>QUOTIENT(0,1000000)</f>
        <v>0</v>
      </c>
    </row>
    <row r="417" spans="1:8" ht="21.75" customHeight="1" x14ac:dyDescent="0.15">
      <c r="A417" s="250"/>
      <c r="B417" s="23" t="s">
        <v>13</v>
      </c>
      <c r="C417" s="22">
        <v>855</v>
      </c>
      <c r="D417" s="86">
        <f>QUOTIENT(3066999160000,1000000)</f>
        <v>3066999</v>
      </c>
      <c r="E417" s="86">
        <f>QUOTIENT(169720340000,1000000)</f>
        <v>169720</v>
      </c>
      <c r="F417" s="87">
        <f>QUOTIENT(1620110270000,1000000)</f>
        <v>1620110</v>
      </c>
      <c r="G417" s="87">
        <f>QUOTIENT(1277068550000,1000000)</f>
        <v>1277068</v>
      </c>
      <c r="H417" s="88">
        <f>QUOTIENT(100000000,1000000)</f>
        <v>100</v>
      </c>
    </row>
    <row r="418" spans="1:8" ht="21.75" customHeight="1" x14ac:dyDescent="0.15">
      <c r="A418" s="250"/>
      <c r="B418" s="23" t="s">
        <v>12</v>
      </c>
      <c r="C418" s="22">
        <v>284</v>
      </c>
      <c r="D418" s="86">
        <f>QUOTIENT(7088200000000,1000000)</f>
        <v>7088200</v>
      </c>
      <c r="E418" s="86">
        <f>QUOTIENT(1238996000000,1000000)</f>
        <v>1238996</v>
      </c>
      <c r="F418" s="87">
        <f>QUOTIENT(2194842000000,1000000)</f>
        <v>2194842</v>
      </c>
      <c r="G418" s="87">
        <f>QUOTIENT(3624862000000,1000000)</f>
        <v>3624862</v>
      </c>
      <c r="H418" s="88">
        <f>QUOTIENT(29500000000,1000000)</f>
        <v>29500</v>
      </c>
    </row>
    <row r="419" spans="1:8" ht="21.75" customHeight="1" x14ac:dyDescent="0.15">
      <c r="A419" s="250"/>
      <c r="B419" s="23" t="s">
        <v>11</v>
      </c>
      <c r="C419" s="22">
        <v>68</v>
      </c>
      <c r="D419" s="86">
        <f>QUOTIENT(1278650000000,1000000)</f>
        <v>1278650</v>
      </c>
      <c r="E419" s="86">
        <f>QUOTIENT(135300000000,1000000)</f>
        <v>135300</v>
      </c>
      <c r="F419" s="87">
        <f>QUOTIENT(532350000000,1000000)</f>
        <v>532350</v>
      </c>
      <c r="G419" s="87">
        <f>QUOTIENT(611000000000,1000000)</f>
        <v>611000</v>
      </c>
      <c r="H419" s="88">
        <f>QUOTIENT(0,1000000)</f>
        <v>0</v>
      </c>
    </row>
    <row r="420" spans="1:8" ht="21.75" customHeight="1" x14ac:dyDescent="0.15">
      <c r="A420" s="250"/>
      <c r="B420" s="23" t="s">
        <v>10</v>
      </c>
      <c r="C420" s="22">
        <v>0</v>
      </c>
      <c r="D420" s="86">
        <f t="shared" ref="D420:G422" si="15">QUOTIENT(0,1000000)</f>
        <v>0</v>
      </c>
      <c r="E420" s="86">
        <f t="shared" si="15"/>
        <v>0</v>
      </c>
      <c r="F420" s="87">
        <f t="shared" si="15"/>
        <v>0</v>
      </c>
      <c r="G420" s="87">
        <f t="shared" si="15"/>
        <v>0</v>
      </c>
      <c r="H420" s="88">
        <f>QUOTIENT(0,1000000)</f>
        <v>0</v>
      </c>
    </row>
    <row r="421" spans="1:8" ht="21.75" customHeight="1" x14ac:dyDescent="0.15">
      <c r="A421" s="250"/>
      <c r="B421" s="23" t="s">
        <v>9</v>
      </c>
      <c r="C421" s="22">
        <v>0</v>
      </c>
      <c r="D421" s="86">
        <f t="shared" si="15"/>
        <v>0</v>
      </c>
      <c r="E421" s="86">
        <f t="shared" si="15"/>
        <v>0</v>
      </c>
      <c r="F421" s="87">
        <f t="shared" si="15"/>
        <v>0</v>
      </c>
      <c r="G421" s="87">
        <f t="shared" si="15"/>
        <v>0</v>
      </c>
      <c r="H421" s="88">
        <f>QUOTIENT(0,1000000)</f>
        <v>0</v>
      </c>
    </row>
    <row r="422" spans="1:8" ht="21.75" customHeight="1" x14ac:dyDescent="0.15">
      <c r="A422" s="250"/>
      <c r="B422" s="23" t="s">
        <v>8</v>
      </c>
      <c r="C422" s="22">
        <v>0</v>
      </c>
      <c r="D422" s="86">
        <f t="shared" si="15"/>
        <v>0</v>
      </c>
      <c r="E422" s="86">
        <f t="shared" si="15"/>
        <v>0</v>
      </c>
      <c r="F422" s="87">
        <f t="shared" si="15"/>
        <v>0</v>
      </c>
      <c r="G422" s="87">
        <f t="shared" si="15"/>
        <v>0</v>
      </c>
      <c r="H422" s="88">
        <f>QUOTIENT(0,1000000)</f>
        <v>0</v>
      </c>
    </row>
    <row r="423" spans="1:8" ht="21.75" customHeight="1" x14ac:dyDescent="0.15">
      <c r="A423" s="251"/>
      <c r="B423" s="23" t="s">
        <v>7</v>
      </c>
      <c r="C423" s="22">
        <v>88</v>
      </c>
      <c r="D423" s="86">
        <f>QUOTIENT(7130000000,1000000)</f>
        <v>7130</v>
      </c>
      <c r="E423" s="86">
        <f>QUOTIENT(0,1000000)</f>
        <v>0</v>
      </c>
      <c r="F423" s="87">
        <f>QUOTIENT(0,1000000)</f>
        <v>0</v>
      </c>
      <c r="G423" s="87">
        <f>QUOTIENT(7130000000,1000000)</f>
        <v>7130</v>
      </c>
      <c r="H423" s="88">
        <f>QUOTIENT(0,1000000)</f>
        <v>0</v>
      </c>
    </row>
    <row r="424" spans="1:8" ht="21.75" customHeight="1" x14ac:dyDescent="0.15">
      <c r="A424" s="18" t="s">
        <v>6</v>
      </c>
      <c r="B424" s="17" t="s">
        <v>5</v>
      </c>
      <c r="C424" s="16">
        <v>3221</v>
      </c>
      <c r="D424" s="80">
        <v>23466630</v>
      </c>
      <c r="E424" s="80">
        <v>827300</v>
      </c>
      <c r="F424" s="81">
        <v>10347836</v>
      </c>
      <c r="G424" s="81">
        <v>9459189</v>
      </c>
      <c r="H424" s="82">
        <v>2832305</v>
      </c>
    </row>
    <row r="425" spans="1:8" ht="21.75" customHeight="1" x14ac:dyDescent="0.15">
      <c r="A425" s="252" t="s">
        <v>4</v>
      </c>
      <c r="B425" s="12" t="s">
        <v>3</v>
      </c>
      <c r="C425" s="11">
        <v>5667</v>
      </c>
      <c r="D425" s="89">
        <f>QUOTIENT(114945716420693,1000000)</f>
        <v>114945716</v>
      </c>
      <c r="E425" s="89">
        <f>QUOTIENT(72746792356083,1000000)</f>
        <v>72746792</v>
      </c>
      <c r="F425" s="90">
        <f>QUOTIENT(19370609953115,1000000)</f>
        <v>19370609</v>
      </c>
      <c r="G425" s="90">
        <f>QUOTIENT(13592079955566,1000000)</f>
        <v>13592079</v>
      </c>
      <c r="H425" s="91">
        <f>QUOTIENT(9236234155929,1000000)</f>
        <v>9236234</v>
      </c>
    </row>
    <row r="426" spans="1:8" ht="21.75" customHeight="1" thickBot="1" x14ac:dyDescent="0.2">
      <c r="A426" s="253"/>
      <c r="B426" s="7" t="s">
        <v>1153</v>
      </c>
      <c r="C426" s="6">
        <v>8413</v>
      </c>
      <c r="D426" s="92" t="s">
        <v>2178</v>
      </c>
      <c r="E426" s="92" t="s">
        <v>2178</v>
      </c>
      <c r="F426" s="92" t="s">
        <v>2178</v>
      </c>
      <c r="G426" s="92" t="s">
        <v>2178</v>
      </c>
      <c r="H426" s="93" t="s">
        <v>2178</v>
      </c>
    </row>
    <row r="427" spans="1:8" ht="18" customHeight="1" x14ac:dyDescent="0.15">
      <c r="A427" s="3" t="s">
        <v>1155</v>
      </c>
      <c r="B427" s="2"/>
      <c r="C427" s="2"/>
      <c r="D427" s="2"/>
      <c r="E427" s="2"/>
      <c r="F427" s="2"/>
      <c r="G427" s="2"/>
      <c r="H427" s="2"/>
    </row>
    <row r="428" spans="1:8" ht="18" customHeight="1" x14ac:dyDescent="0.15">
      <c r="A428" s="3" t="s">
        <v>2587</v>
      </c>
      <c r="B428" s="2"/>
      <c r="C428" s="2"/>
      <c r="D428" s="2"/>
      <c r="E428" s="2"/>
      <c r="F428" s="2"/>
      <c r="G428" s="2"/>
      <c r="H428" s="2"/>
    </row>
    <row r="429" spans="1:8" ht="18" customHeight="1" x14ac:dyDescent="0.15">
      <c r="A429" s="3" t="s">
        <v>1156</v>
      </c>
      <c r="B429" s="2"/>
      <c r="C429" s="2"/>
      <c r="D429" s="2"/>
      <c r="E429" s="2"/>
      <c r="F429" s="2"/>
      <c r="G429" s="2"/>
      <c r="H429" s="2"/>
    </row>
    <row r="430" spans="1:8" ht="18" customHeight="1" x14ac:dyDescent="0.15">
      <c r="A430" s="3" t="s">
        <v>2582</v>
      </c>
      <c r="B430" s="2"/>
      <c r="C430" s="2"/>
      <c r="D430" s="2"/>
      <c r="E430" s="2"/>
      <c r="F430" s="2"/>
      <c r="G430" s="2"/>
      <c r="H430" s="2"/>
    </row>
    <row r="431" spans="1:8" ht="24" x14ac:dyDescent="0.15">
      <c r="A431" s="230" t="s">
        <v>2579</v>
      </c>
      <c r="B431" s="230"/>
      <c r="C431" s="230"/>
      <c r="D431" s="230"/>
      <c r="E431" s="230"/>
      <c r="F431" s="230"/>
      <c r="G431" s="230"/>
      <c r="H431" s="230"/>
    </row>
    <row r="432" spans="1:8" ht="18" customHeight="1" x14ac:dyDescent="0.15">
      <c r="A432" s="231"/>
      <c r="B432" s="231"/>
      <c r="C432" s="231"/>
      <c r="D432" s="231"/>
      <c r="E432" s="231"/>
      <c r="F432" s="231"/>
      <c r="G432" s="231"/>
      <c r="H432" s="231"/>
    </row>
    <row r="433" spans="1:8" thickBot="1" x14ac:dyDescent="0.2">
      <c r="A433" s="58" t="s">
        <v>48</v>
      </c>
    </row>
    <row r="434" spans="1:8" ht="18" customHeight="1" x14ac:dyDescent="0.15">
      <c r="A434" s="232" t="s">
        <v>47</v>
      </c>
      <c r="B434" s="235" t="s">
        <v>46</v>
      </c>
      <c r="C434" s="238" t="s">
        <v>45</v>
      </c>
      <c r="D434" s="241" t="s">
        <v>44</v>
      </c>
      <c r="E434" s="183"/>
      <c r="F434" s="56"/>
      <c r="G434" s="56"/>
      <c r="H434" s="55"/>
    </row>
    <row r="435" spans="1:8" ht="18" customHeight="1" x14ac:dyDescent="0.15">
      <c r="A435" s="233"/>
      <c r="B435" s="236"/>
      <c r="C435" s="239"/>
      <c r="D435" s="242"/>
      <c r="E435" s="244" t="s">
        <v>43</v>
      </c>
      <c r="F435" s="246" t="s">
        <v>42</v>
      </c>
      <c r="G435" s="246" t="s">
        <v>41</v>
      </c>
      <c r="H435" s="248" t="s">
        <v>40</v>
      </c>
    </row>
    <row r="436" spans="1:8" ht="18" customHeight="1" thickBot="1" x14ac:dyDescent="0.2">
      <c r="A436" s="234"/>
      <c r="B436" s="237"/>
      <c r="C436" s="240"/>
      <c r="D436" s="243"/>
      <c r="E436" s="245"/>
      <c r="F436" s="247"/>
      <c r="G436" s="247"/>
      <c r="H436" s="249"/>
    </row>
    <row r="437" spans="1:8" s="60" customFormat="1" ht="18" customHeight="1" thickTop="1" x14ac:dyDescent="0.15">
      <c r="A437" s="184"/>
      <c r="B437" s="185"/>
      <c r="C437" s="52"/>
      <c r="D437" s="51" t="s">
        <v>39</v>
      </c>
      <c r="E437" s="50" t="s">
        <v>39</v>
      </c>
      <c r="F437" s="49" t="s">
        <v>39</v>
      </c>
      <c r="G437" s="49" t="s">
        <v>39</v>
      </c>
      <c r="H437" s="48" t="s">
        <v>39</v>
      </c>
    </row>
    <row r="438" spans="1:8" ht="21.75" customHeight="1" x14ac:dyDescent="0.15">
      <c r="A438" s="250" t="s">
        <v>38</v>
      </c>
      <c r="B438" s="61" t="s">
        <v>37</v>
      </c>
      <c r="C438" s="62">
        <v>3979</v>
      </c>
      <c r="D438" s="63">
        <f>QUOTIENT(793474357683717,1000000)</f>
        <v>793474357</v>
      </c>
      <c r="E438" s="63">
        <f>QUOTIENT(282340526585160,1000000)</f>
        <v>282340526</v>
      </c>
      <c r="F438" s="64">
        <f>QUOTIENT(260017081227014,1000000)</f>
        <v>260017081</v>
      </c>
      <c r="G438" s="64">
        <f>QUOTIENT(240415534775311,1000000)</f>
        <v>240415534</v>
      </c>
      <c r="H438" s="65">
        <f>QUOTIENT(10701215096231,1000000)</f>
        <v>10701215</v>
      </c>
    </row>
    <row r="439" spans="1:8" ht="21.75" customHeight="1" x14ac:dyDescent="0.15">
      <c r="A439" s="250"/>
      <c r="B439" s="66" t="s">
        <v>36</v>
      </c>
      <c r="C439" s="67">
        <v>15</v>
      </c>
      <c r="D439" s="68">
        <f>QUOTIENT(15588703500,1000000)</f>
        <v>15588</v>
      </c>
      <c r="E439" s="68">
        <f>QUOTIENT(11102987000,1000000)</f>
        <v>11102</v>
      </c>
      <c r="F439" s="69">
        <f>QUOTIENT(4159050000,1000000)</f>
        <v>4159</v>
      </c>
      <c r="G439" s="69">
        <f>QUOTIENT(325673000,1000000)</f>
        <v>325</v>
      </c>
      <c r="H439" s="115">
        <f>QUOTIENT(993500,1000000)</f>
        <v>0</v>
      </c>
    </row>
    <row r="440" spans="1:8" ht="21.75" customHeight="1" x14ac:dyDescent="0.15">
      <c r="A440" s="250"/>
      <c r="B440" s="66" t="s">
        <v>35</v>
      </c>
      <c r="C440" s="67">
        <v>118</v>
      </c>
      <c r="D440" s="68">
        <f>QUOTIENT(159352006,1000000)</f>
        <v>159</v>
      </c>
      <c r="E440" s="68">
        <f>QUOTIENT(151660882,1000000)</f>
        <v>151</v>
      </c>
      <c r="F440" s="182">
        <f>QUOTIENT(316000,1000000)</f>
        <v>0</v>
      </c>
      <c r="G440" s="69">
        <f>QUOTIENT(0,1000000)</f>
        <v>0</v>
      </c>
      <c r="H440" s="70">
        <f>QUOTIENT(7375124,1000000)</f>
        <v>7</v>
      </c>
    </row>
    <row r="441" spans="1:8" ht="21.75" customHeight="1" x14ac:dyDescent="0.15">
      <c r="A441" s="250"/>
      <c r="B441" s="71" t="s">
        <v>34</v>
      </c>
      <c r="C441" s="72">
        <v>1</v>
      </c>
      <c r="D441" s="73">
        <f>QUOTIENT(194619405600,1000000)</f>
        <v>194619</v>
      </c>
      <c r="E441" s="73">
        <f>QUOTIENT(146692636800,1000000)</f>
        <v>146692</v>
      </c>
      <c r="F441" s="74">
        <f>QUOTIENT(9555620400,1000000)</f>
        <v>9555</v>
      </c>
      <c r="G441" s="74">
        <f>QUOTIENT(35538235200,1000000)</f>
        <v>35538</v>
      </c>
      <c r="H441" s="75">
        <f>QUOTIENT(2832913200,1000000)</f>
        <v>2832</v>
      </c>
    </row>
    <row r="442" spans="1:8" ht="21.75" customHeight="1" x14ac:dyDescent="0.15">
      <c r="A442" s="250"/>
      <c r="B442" s="66" t="s">
        <v>33</v>
      </c>
      <c r="C442" s="67">
        <v>65</v>
      </c>
      <c r="D442" s="68">
        <f>QUOTIENT(15966105033400,1000000)</f>
        <v>15966105</v>
      </c>
      <c r="E442" s="68">
        <f>QUOTIENT(3973414990100,1000000)</f>
        <v>3973414</v>
      </c>
      <c r="F442" s="69">
        <f>QUOTIENT(4411513758800,1000000)</f>
        <v>4411513</v>
      </c>
      <c r="G442" s="69">
        <f>QUOTIENT(7431048979000,1000000)</f>
        <v>7431048</v>
      </c>
      <c r="H442" s="70">
        <f>QUOTIENT(150127305500,1000000)</f>
        <v>150127</v>
      </c>
    </row>
    <row r="443" spans="1:8" ht="21.75" customHeight="1" x14ac:dyDescent="0.15">
      <c r="A443" s="250"/>
      <c r="B443" s="76" t="s">
        <v>32</v>
      </c>
      <c r="C443" s="67">
        <v>256</v>
      </c>
      <c r="D443" s="68">
        <f>QUOTIENT(67432588556332,1000000)</f>
        <v>67432588</v>
      </c>
      <c r="E443" s="68">
        <f>QUOTIENT(5121785427794,1000000)</f>
        <v>5121785</v>
      </c>
      <c r="F443" s="69">
        <f>QUOTIENT(1634120498730,1000000)</f>
        <v>1634120</v>
      </c>
      <c r="G443" s="69">
        <f>QUOTIENT(60498791661992,1000000)</f>
        <v>60498791</v>
      </c>
      <c r="H443" s="70">
        <f>QUOTIENT(177890967814,1000000)</f>
        <v>177890</v>
      </c>
    </row>
    <row r="444" spans="1:8" ht="21.75" customHeight="1" x14ac:dyDescent="0.15">
      <c r="A444" s="251"/>
      <c r="B444" s="77" t="s">
        <v>31</v>
      </c>
      <c r="C444" s="72">
        <v>44</v>
      </c>
      <c r="D444" s="73">
        <f>QUOTIENT(478305566966,1000000)</f>
        <v>478305</v>
      </c>
      <c r="E444" s="73">
        <f>QUOTIENT(321667501165,1000000)</f>
        <v>321667</v>
      </c>
      <c r="F444" s="74">
        <f>QUOTIENT(7210815354,1000000)</f>
        <v>7210</v>
      </c>
      <c r="G444" s="74">
        <f>QUOTIENT(136996787120,1000000)</f>
        <v>136996</v>
      </c>
      <c r="H444" s="75">
        <f>QUOTIENT(12430463327,1000000)</f>
        <v>12430</v>
      </c>
    </row>
    <row r="445" spans="1:8" ht="21.75" customHeight="1" x14ac:dyDescent="0.15">
      <c r="A445" s="30" t="s">
        <v>30</v>
      </c>
      <c r="B445" s="78" t="s">
        <v>29</v>
      </c>
      <c r="C445" s="79">
        <v>27</v>
      </c>
      <c r="D445" s="80">
        <f>QUOTIENT(142939537439,1000000)</f>
        <v>142939</v>
      </c>
      <c r="E445" s="80">
        <f>QUOTIENT(127796976972,1000000)</f>
        <v>127796</v>
      </c>
      <c r="F445" s="81">
        <f>QUOTIENT(2820962747,1000000)</f>
        <v>2820</v>
      </c>
      <c r="G445" s="81">
        <f>QUOTIENT(0,1000000)</f>
        <v>0</v>
      </c>
      <c r="H445" s="82">
        <f>QUOTIENT(12321597720,1000000)</f>
        <v>12321</v>
      </c>
    </row>
    <row r="446" spans="1:8" ht="21.75" customHeight="1" x14ac:dyDescent="0.15">
      <c r="A446" s="252" t="s">
        <v>28</v>
      </c>
      <c r="B446" s="17" t="s">
        <v>27</v>
      </c>
      <c r="C446" s="16">
        <v>3486</v>
      </c>
      <c r="D446" s="83">
        <f>QUOTIENT(65213578570000,1000000)</f>
        <v>65213578</v>
      </c>
      <c r="E446" s="83">
        <f>QUOTIENT(10693801680000,1000000)</f>
        <v>10693801</v>
      </c>
      <c r="F446" s="84">
        <f>QUOTIENT(29331011070000,1000000)</f>
        <v>29331011</v>
      </c>
      <c r="G446" s="84">
        <f>QUOTIENT(25050951240000,1000000)</f>
        <v>25050951</v>
      </c>
      <c r="H446" s="85">
        <f>QUOTIENT(137814580000,1000000)</f>
        <v>137814</v>
      </c>
    </row>
    <row r="447" spans="1:8" ht="21.75" customHeight="1" x14ac:dyDescent="0.15">
      <c r="A447" s="250"/>
      <c r="B447" s="23" t="s">
        <v>26</v>
      </c>
      <c r="C447" s="22">
        <v>3488</v>
      </c>
      <c r="D447" s="86">
        <f>QUOTIENT(15082580537000,1000000)</f>
        <v>15082580</v>
      </c>
      <c r="E447" s="86">
        <f>QUOTIENT(520382336000,1000000)</f>
        <v>520382</v>
      </c>
      <c r="F447" s="87">
        <f>QUOTIENT(9790467871000,1000000)</f>
        <v>9790467</v>
      </c>
      <c r="G447" s="87">
        <f>QUOTIENT(4760793330000,1000000)</f>
        <v>4760793</v>
      </c>
      <c r="H447" s="88">
        <f>QUOTIENT(10937000000,1000000)</f>
        <v>10937</v>
      </c>
    </row>
    <row r="448" spans="1:8" ht="21.75" customHeight="1" x14ac:dyDescent="0.15">
      <c r="A448" s="250"/>
      <c r="B448" s="24" t="s">
        <v>25</v>
      </c>
      <c r="C448" s="22">
        <v>551</v>
      </c>
      <c r="D448" s="86">
        <f>QUOTIENT(19577900000000,1000000)</f>
        <v>19577900</v>
      </c>
      <c r="E448" s="86">
        <f>QUOTIENT(1653411500000,1000000)</f>
        <v>1653411</v>
      </c>
      <c r="F448" s="87">
        <f>QUOTIENT(8026507900000,1000000)</f>
        <v>8026507</v>
      </c>
      <c r="G448" s="87">
        <f>QUOTIENT(9856110600000,1000000)</f>
        <v>9856110</v>
      </c>
      <c r="H448" s="88">
        <f>QUOTIENT(41870000000,1000000)</f>
        <v>41870</v>
      </c>
    </row>
    <row r="449" spans="1:8" ht="21.75" customHeight="1" x14ac:dyDescent="0.15">
      <c r="A449" s="250"/>
      <c r="B449" s="23" t="s">
        <v>24</v>
      </c>
      <c r="C449" s="22">
        <v>2124</v>
      </c>
      <c r="D449" s="86">
        <f>QUOTIENT(55531200000000,1000000)</f>
        <v>55531200</v>
      </c>
      <c r="E449" s="86">
        <f>QUOTIENT(7845324680000,1000000)</f>
        <v>7845324</v>
      </c>
      <c r="F449" s="87">
        <f>QUOTIENT(19347695320000,1000000)</f>
        <v>19347695</v>
      </c>
      <c r="G449" s="87">
        <f>QUOTIENT(28330130000000,1000000)</f>
        <v>28330130</v>
      </c>
      <c r="H449" s="88">
        <f>QUOTIENT(8050000000,1000000)</f>
        <v>8050</v>
      </c>
    </row>
    <row r="450" spans="1:8" ht="21.75" customHeight="1" x14ac:dyDescent="0.15">
      <c r="A450" s="250"/>
      <c r="B450" s="23" t="s">
        <v>23</v>
      </c>
      <c r="C450" s="22">
        <v>517</v>
      </c>
      <c r="D450" s="86">
        <f>QUOTIENT(5172550000000,1000000)</f>
        <v>5172550</v>
      </c>
      <c r="E450" s="86">
        <f>QUOTIENT(289816000000,1000000)</f>
        <v>289816</v>
      </c>
      <c r="F450" s="87">
        <f>QUOTIENT(87579400000,1000000)</f>
        <v>87579</v>
      </c>
      <c r="G450" s="87">
        <f>QUOTIENT(4795154600000,1000000)</f>
        <v>4795154</v>
      </c>
      <c r="H450" s="88">
        <f>QUOTIENT(0,1000000)</f>
        <v>0</v>
      </c>
    </row>
    <row r="451" spans="1:8" ht="21.75" customHeight="1" x14ac:dyDescent="0.15">
      <c r="A451" s="250"/>
      <c r="B451" s="23" t="s">
        <v>22</v>
      </c>
      <c r="C451" s="22">
        <v>174</v>
      </c>
      <c r="D451" s="86">
        <f>QUOTIENT(1310900000000,1000000)</f>
        <v>1310900</v>
      </c>
      <c r="E451" s="86">
        <f>QUOTIENT(331670000000,1000000)</f>
        <v>331670</v>
      </c>
      <c r="F451" s="87">
        <f>QUOTIENT(471800000000,1000000)</f>
        <v>471800</v>
      </c>
      <c r="G451" s="87">
        <f>QUOTIENT(507430000000,1000000)</f>
        <v>507430</v>
      </c>
      <c r="H451" s="88">
        <f>QUOTIENT(0,1000000)</f>
        <v>0</v>
      </c>
    </row>
    <row r="452" spans="1:8" ht="21.75" customHeight="1" x14ac:dyDescent="0.15">
      <c r="A452" s="250"/>
      <c r="B452" s="23" t="s">
        <v>21</v>
      </c>
      <c r="C452" s="22">
        <v>19</v>
      </c>
      <c r="D452" s="86">
        <f>QUOTIENT(121410000000,1000000)</f>
        <v>121410</v>
      </c>
      <c r="E452" s="86">
        <f>QUOTIENT(108903000000,1000000)</f>
        <v>108903</v>
      </c>
      <c r="F452" s="87">
        <f>QUOTIENT(6220000000,1000000)</f>
        <v>6220</v>
      </c>
      <c r="G452" s="87">
        <f>QUOTIENT(6287000000,1000000)</f>
        <v>6287</v>
      </c>
      <c r="H452" s="88">
        <f>QUOTIENT(0,1000000)</f>
        <v>0</v>
      </c>
    </row>
    <row r="453" spans="1:8" ht="21.75" customHeight="1" x14ac:dyDescent="0.15">
      <c r="A453" s="250"/>
      <c r="B453" s="23" t="s">
        <v>20</v>
      </c>
      <c r="C453" s="22">
        <v>0</v>
      </c>
      <c r="D453" s="86">
        <f>QUOTIENT(0,1000000)</f>
        <v>0</v>
      </c>
      <c r="E453" s="86">
        <f>QUOTIENT(0,1000000)</f>
        <v>0</v>
      </c>
      <c r="F453" s="87">
        <f>QUOTIENT(0,1000000)</f>
        <v>0</v>
      </c>
      <c r="G453" s="87">
        <f>QUOTIENT(0,1000000)</f>
        <v>0</v>
      </c>
      <c r="H453" s="88">
        <f>QUOTIENT(0,1000000)</f>
        <v>0</v>
      </c>
    </row>
    <row r="454" spans="1:8" ht="21.75" customHeight="1" x14ac:dyDescent="0.15">
      <c r="A454" s="250"/>
      <c r="B454" s="23" t="s">
        <v>19</v>
      </c>
      <c r="C454" s="22">
        <v>204</v>
      </c>
      <c r="D454" s="86">
        <v>4928920</v>
      </c>
      <c r="E454" s="86">
        <f>QUOTIENT(556730000000,1000000)</f>
        <v>556730</v>
      </c>
      <c r="F454" s="87">
        <f>QUOTIENT(2582610000000,1000000)</f>
        <v>2582610</v>
      </c>
      <c r="G454" s="87">
        <f>QUOTIENT(1746480000000,1000000)</f>
        <v>1746480</v>
      </c>
      <c r="H454" s="88">
        <f>QUOTIENT(43100000000,1000000)</f>
        <v>43100</v>
      </c>
    </row>
    <row r="455" spans="1:8" ht="21.75" customHeight="1" x14ac:dyDescent="0.15">
      <c r="A455" s="250"/>
      <c r="B455" s="23" t="s">
        <v>18</v>
      </c>
      <c r="C455" s="22">
        <v>4151</v>
      </c>
      <c r="D455" s="86">
        <f>QUOTIENT(87127815500000,1000000)</f>
        <v>87127815</v>
      </c>
      <c r="E455" s="86">
        <f>QUOTIENT(22264378900000,1000000)</f>
        <v>22264378</v>
      </c>
      <c r="F455" s="87">
        <f>QUOTIENT(29703128300000,1000000)</f>
        <v>29703128</v>
      </c>
      <c r="G455" s="87">
        <f>QUOTIENT(34516932600000,1000000)</f>
        <v>34516932</v>
      </c>
      <c r="H455" s="88">
        <f>QUOTIENT(643375700000,1000000)</f>
        <v>643375</v>
      </c>
    </row>
    <row r="456" spans="1:8" ht="21.75" customHeight="1" x14ac:dyDescent="0.15">
      <c r="A456" s="250"/>
      <c r="B456" s="23" t="s">
        <v>17</v>
      </c>
      <c r="C456" s="22">
        <v>798</v>
      </c>
      <c r="D456" s="86">
        <f>QUOTIENT(18353460000000,1000000)</f>
        <v>18353460</v>
      </c>
      <c r="E456" s="86">
        <f>QUOTIENT(4786831100000,1000000)</f>
        <v>4786831</v>
      </c>
      <c r="F456" s="87">
        <f>QUOTIENT(6025768800000,1000000)</f>
        <v>6025768</v>
      </c>
      <c r="G456" s="87">
        <f>QUOTIENT(7468779100000,1000000)</f>
        <v>7468779</v>
      </c>
      <c r="H456" s="88">
        <f>QUOTIENT(72081000000,1000000)</f>
        <v>72081</v>
      </c>
    </row>
    <row r="457" spans="1:8" ht="21.75" customHeight="1" x14ac:dyDescent="0.15">
      <c r="A457" s="250"/>
      <c r="B457" s="23" t="s">
        <v>16</v>
      </c>
      <c r="C457" s="22">
        <v>63551</v>
      </c>
      <c r="D457" s="86">
        <f>QUOTIENT(15294905779000,1000000)</f>
        <v>15294905</v>
      </c>
      <c r="E457" s="86">
        <f>QUOTIENT(4194155305000,1000000)</f>
        <v>4194155</v>
      </c>
      <c r="F457" s="87">
        <f>QUOTIENT(4756573464000,1000000)</f>
        <v>4756573</v>
      </c>
      <c r="G457" s="87">
        <f>QUOTIENT(6316815210000,1000000)</f>
        <v>6316815</v>
      </c>
      <c r="H457" s="88">
        <f>QUOTIENT(27361800000,1000000)</f>
        <v>27361</v>
      </c>
    </row>
    <row r="458" spans="1:8" ht="21.75" customHeight="1" x14ac:dyDescent="0.15">
      <c r="A458" s="250"/>
      <c r="B458" s="23" t="s">
        <v>15</v>
      </c>
      <c r="C458" s="22">
        <v>455</v>
      </c>
      <c r="D458" s="86">
        <f>QUOTIENT(3697453979000,1000000)</f>
        <v>3697453</v>
      </c>
      <c r="E458" s="86">
        <f>QUOTIENT(3177011705000,1000000)</f>
        <v>3177011</v>
      </c>
      <c r="F458" s="87">
        <f>QUOTIENT(457420784000,1000000)</f>
        <v>457420</v>
      </c>
      <c r="G458" s="87">
        <f>QUOTIENT(62776490000,1000000)</f>
        <v>62776</v>
      </c>
      <c r="H458" s="88">
        <f>QUOTIENT(245000000,1000000)</f>
        <v>245</v>
      </c>
    </row>
    <row r="459" spans="1:8" ht="21.75" customHeight="1" x14ac:dyDescent="0.15">
      <c r="A459" s="250"/>
      <c r="B459" s="23" t="s">
        <v>14</v>
      </c>
      <c r="C459" s="22">
        <v>31</v>
      </c>
      <c r="D459" s="86">
        <f>QUOTIENT(89700000000,1000000)</f>
        <v>89700</v>
      </c>
      <c r="E459" s="86">
        <f>QUOTIENT(18200000000,1000000)</f>
        <v>18200</v>
      </c>
      <c r="F459" s="87">
        <f>QUOTIENT(51700000000,1000000)</f>
        <v>51700</v>
      </c>
      <c r="G459" s="87">
        <f>QUOTIENT(19800000000,1000000)</f>
        <v>19800</v>
      </c>
      <c r="H459" s="88">
        <f>QUOTIENT(0,1000000)</f>
        <v>0</v>
      </c>
    </row>
    <row r="460" spans="1:8" ht="21.75" customHeight="1" x14ac:dyDescent="0.15">
      <c r="A460" s="250"/>
      <c r="B460" s="23" t="s">
        <v>13</v>
      </c>
      <c r="C460" s="22">
        <v>840</v>
      </c>
      <c r="D460" s="86">
        <f>QUOTIENT(3060023035000,1000000)</f>
        <v>3060023</v>
      </c>
      <c r="E460" s="86">
        <f>QUOTIENT(170634340000,1000000)</f>
        <v>170634</v>
      </c>
      <c r="F460" s="87">
        <f>QUOTIENT(1620520145000,1000000)</f>
        <v>1620520</v>
      </c>
      <c r="G460" s="87">
        <f>QUOTIENT(1268768550000,1000000)</f>
        <v>1268768</v>
      </c>
      <c r="H460" s="88">
        <f>QUOTIENT(100000000,1000000)</f>
        <v>100</v>
      </c>
    </row>
    <row r="461" spans="1:8" ht="21.75" customHeight="1" x14ac:dyDescent="0.15">
      <c r="A461" s="250"/>
      <c r="B461" s="23" t="s">
        <v>12</v>
      </c>
      <c r="C461" s="22">
        <v>280</v>
      </c>
      <c r="D461" s="86">
        <f>QUOTIENT(7102300000000,1000000)</f>
        <v>7102300</v>
      </c>
      <c r="E461" s="86">
        <f>QUOTIENT(1245896000000,1000000)</f>
        <v>1245896</v>
      </c>
      <c r="F461" s="87">
        <f>QUOTIENT(2178742000000,1000000)</f>
        <v>2178742</v>
      </c>
      <c r="G461" s="87">
        <f>QUOTIENT(3647762000000,1000000)</f>
        <v>3647762</v>
      </c>
      <c r="H461" s="88">
        <f>QUOTIENT(29900000000,1000000)</f>
        <v>29900</v>
      </c>
    </row>
    <row r="462" spans="1:8" ht="21.75" customHeight="1" x14ac:dyDescent="0.15">
      <c r="A462" s="250"/>
      <c r="B462" s="23" t="s">
        <v>11</v>
      </c>
      <c r="C462" s="22">
        <v>68</v>
      </c>
      <c r="D462" s="86">
        <f>QUOTIENT(1276150000000,1000000)</f>
        <v>1276150</v>
      </c>
      <c r="E462" s="86">
        <f>QUOTIENT(131800000000,1000000)</f>
        <v>131800</v>
      </c>
      <c r="F462" s="87">
        <f>QUOTIENT(529350000000,1000000)</f>
        <v>529350</v>
      </c>
      <c r="G462" s="87">
        <f>QUOTIENT(615000000000,1000000)</f>
        <v>615000</v>
      </c>
      <c r="H462" s="88">
        <f>QUOTIENT(0,1000000)</f>
        <v>0</v>
      </c>
    </row>
    <row r="463" spans="1:8" ht="21.75" customHeight="1" x14ac:dyDescent="0.15">
      <c r="A463" s="250"/>
      <c r="B463" s="23" t="s">
        <v>10</v>
      </c>
      <c r="C463" s="22">
        <v>0</v>
      </c>
      <c r="D463" s="86">
        <f t="shared" ref="D463:G465" si="16">QUOTIENT(0,1000000)</f>
        <v>0</v>
      </c>
      <c r="E463" s="86">
        <f t="shared" si="16"/>
        <v>0</v>
      </c>
      <c r="F463" s="87">
        <f t="shared" si="16"/>
        <v>0</v>
      </c>
      <c r="G463" s="87">
        <f t="shared" si="16"/>
        <v>0</v>
      </c>
      <c r="H463" s="88">
        <f>QUOTIENT(0,1000000)</f>
        <v>0</v>
      </c>
    </row>
    <row r="464" spans="1:8" ht="21.75" customHeight="1" x14ac:dyDescent="0.15">
      <c r="A464" s="250"/>
      <c r="B464" s="23" t="s">
        <v>9</v>
      </c>
      <c r="C464" s="22">
        <v>0</v>
      </c>
      <c r="D464" s="86">
        <f t="shared" si="16"/>
        <v>0</v>
      </c>
      <c r="E464" s="86">
        <f t="shared" si="16"/>
        <v>0</v>
      </c>
      <c r="F464" s="87">
        <f t="shared" si="16"/>
        <v>0</v>
      </c>
      <c r="G464" s="87">
        <f t="shared" si="16"/>
        <v>0</v>
      </c>
      <c r="H464" s="88">
        <f>QUOTIENT(0,1000000)</f>
        <v>0</v>
      </c>
    </row>
    <row r="465" spans="1:8" ht="21.75" customHeight="1" x14ac:dyDescent="0.15">
      <c r="A465" s="250"/>
      <c r="B465" s="23" t="s">
        <v>8</v>
      </c>
      <c r="C465" s="22">
        <v>0</v>
      </c>
      <c r="D465" s="86">
        <f t="shared" si="16"/>
        <v>0</v>
      </c>
      <c r="E465" s="86">
        <f t="shared" si="16"/>
        <v>0</v>
      </c>
      <c r="F465" s="87">
        <f t="shared" si="16"/>
        <v>0</v>
      </c>
      <c r="G465" s="87">
        <f t="shared" si="16"/>
        <v>0</v>
      </c>
      <c r="H465" s="88">
        <f>QUOTIENT(0,1000000)</f>
        <v>0</v>
      </c>
    </row>
    <row r="466" spans="1:8" ht="21.75" customHeight="1" x14ac:dyDescent="0.15">
      <c r="A466" s="251"/>
      <c r="B466" s="23" t="s">
        <v>7</v>
      </c>
      <c r="C466" s="22">
        <v>88</v>
      </c>
      <c r="D466" s="86">
        <f>QUOTIENT(7180000000,1000000)</f>
        <v>7180</v>
      </c>
      <c r="E466" s="86">
        <f>QUOTIENT(0,1000000)</f>
        <v>0</v>
      </c>
      <c r="F466" s="87">
        <f>QUOTIENT(0,1000000)</f>
        <v>0</v>
      </c>
      <c r="G466" s="87">
        <f>QUOTIENT(7180000000,1000000)</f>
        <v>7180</v>
      </c>
      <c r="H466" s="88">
        <f>QUOTIENT(0,1000000)</f>
        <v>0</v>
      </c>
    </row>
    <row r="467" spans="1:8" ht="21.75" customHeight="1" x14ac:dyDescent="0.15">
      <c r="A467" s="18" t="s">
        <v>6</v>
      </c>
      <c r="B467" s="17" t="s">
        <v>5</v>
      </c>
      <c r="C467" s="16">
        <v>3187</v>
      </c>
      <c r="D467" s="80">
        <v>25220265</v>
      </c>
      <c r="E467" s="80">
        <v>851300</v>
      </c>
      <c r="F467" s="81">
        <v>11403078</v>
      </c>
      <c r="G467" s="81">
        <v>9862887</v>
      </c>
      <c r="H467" s="82">
        <v>3103000</v>
      </c>
    </row>
    <row r="468" spans="1:8" ht="21.75" customHeight="1" x14ac:dyDescent="0.15">
      <c r="A468" s="252" t="s">
        <v>4</v>
      </c>
      <c r="B468" s="12" t="s">
        <v>3</v>
      </c>
      <c r="C468" s="11">
        <v>5648</v>
      </c>
      <c r="D468" s="89">
        <f>QUOTIENT(108650920970852,1000000)</f>
        <v>108650920</v>
      </c>
      <c r="E468" s="89">
        <f>QUOTIENT(68438588505513,1000000)</f>
        <v>68438588</v>
      </c>
      <c r="F468" s="90">
        <f>QUOTIENT(18452199597590,1000000)</f>
        <v>18452199</v>
      </c>
      <c r="G468" s="90">
        <f>QUOTIENT(13125603331451,1000000)</f>
        <v>13125603</v>
      </c>
      <c r="H468" s="91">
        <f>QUOTIENT(8634529536298,1000000)</f>
        <v>8634529</v>
      </c>
    </row>
    <row r="469" spans="1:8" ht="21.75" customHeight="1" thickBot="1" x14ac:dyDescent="0.2">
      <c r="A469" s="253"/>
      <c r="B469" s="7" t="s">
        <v>1153</v>
      </c>
      <c r="C469" s="6">
        <v>8436</v>
      </c>
      <c r="D469" s="92" t="s">
        <v>2178</v>
      </c>
      <c r="E469" s="92" t="s">
        <v>2178</v>
      </c>
      <c r="F469" s="92" t="s">
        <v>2178</v>
      </c>
      <c r="G469" s="92" t="s">
        <v>2178</v>
      </c>
      <c r="H469" s="93" t="s">
        <v>2178</v>
      </c>
    </row>
    <row r="470" spans="1:8" ht="18" customHeight="1" x14ac:dyDescent="0.15">
      <c r="A470" s="3" t="s">
        <v>1155</v>
      </c>
      <c r="B470" s="2"/>
      <c r="C470" s="2"/>
      <c r="D470" s="2"/>
      <c r="E470" s="2"/>
      <c r="F470" s="2"/>
      <c r="G470" s="2"/>
      <c r="H470" s="2"/>
    </row>
    <row r="471" spans="1:8" ht="18" customHeight="1" x14ac:dyDescent="0.15">
      <c r="A471" s="3" t="s">
        <v>2587</v>
      </c>
      <c r="B471" s="2"/>
      <c r="C471" s="2"/>
      <c r="D471" s="2"/>
      <c r="E471" s="2"/>
      <c r="F471" s="2"/>
      <c r="G471" s="2"/>
      <c r="H471" s="2"/>
    </row>
    <row r="472" spans="1:8" ht="18" customHeight="1" x14ac:dyDescent="0.15">
      <c r="A472" s="3" t="s">
        <v>1156</v>
      </c>
      <c r="B472" s="2"/>
      <c r="C472" s="2"/>
      <c r="D472" s="2"/>
      <c r="E472" s="2"/>
      <c r="F472" s="2"/>
      <c r="G472" s="2"/>
      <c r="H472" s="2"/>
    </row>
    <row r="473" spans="1:8" ht="18" customHeight="1" x14ac:dyDescent="0.15">
      <c r="A473" s="3" t="s">
        <v>2580</v>
      </c>
      <c r="B473" s="2"/>
      <c r="C473" s="2"/>
      <c r="D473" s="2"/>
      <c r="E473" s="2"/>
      <c r="F473" s="2"/>
      <c r="G473" s="2"/>
      <c r="H473" s="2"/>
    </row>
    <row r="474" spans="1:8" ht="24" x14ac:dyDescent="0.15">
      <c r="A474" s="230" t="s">
        <v>2577</v>
      </c>
      <c r="B474" s="230"/>
      <c r="C474" s="230"/>
      <c r="D474" s="230"/>
      <c r="E474" s="230"/>
      <c r="F474" s="230"/>
      <c r="G474" s="230"/>
      <c r="H474" s="230"/>
    </row>
    <row r="475" spans="1:8" ht="18" customHeight="1" x14ac:dyDescent="0.15">
      <c r="A475" s="231"/>
      <c r="B475" s="231"/>
      <c r="C475" s="231"/>
      <c r="D475" s="231"/>
      <c r="E475" s="231"/>
      <c r="F475" s="231"/>
      <c r="G475" s="231"/>
      <c r="H475" s="231"/>
    </row>
    <row r="476" spans="1:8" thickBot="1" x14ac:dyDescent="0.2">
      <c r="A476" s="58" t="s">
        <v>48</v>
      </c>
    </row>
    <row r="477" spans="1:8" ht="18" customHeight="1" x14ac:dyDescent="0.15">
      <c r="A477" s="232" t="s">
        <v>47</v>
      </c>
      <c r="B477" s="235" t="s">
        <v>46</v>
      </c>
      <c r="C477" s="238" t="s">
        <v>45</v>
      </c>
      <c r="D477" s="241" t="s">
        <v>44</v>
      </c>
      <c r="E477" s="179"/>
      <c r="F477" s="56"/>
      <c r="G477" s="56"/>
      <c r="H477" s="55"/>
    </row>
    <row r="478" spans="1:8" ht="18" customHeight="1" x14ac:dyDescent="0.15">
      <c r="A478" s="233"/>
      <c r="B478" s="236"/>
      <c r="C478" s="239"/>
      <c r="D478" s="242"/>
      <c r="E478" s="244" t="s">
        <v>43</v>
      </c>
      <c r="F478" s="246" t="s">
        <v>42</v>
      </c>
      <c r="G478" s="246" t="s">
        <v>41</v>
      </c>
      <c r="H478" s="248" t="s">
        <v>40</v>
      </c>
    </row>
    <row r="479" spans="1:8" ht="18" customHeight="1" thickBot="1" x14ac:dyDescent="0.2">
      <c r="A479" s="234"/>
      <c r="B479" s="237"/>
      <c r="C479" s="240"/>
      <c r="D479" s="243"/>
      <c r="E479" s="245"/>
      <c r="F479" s="247"/>
      <c r="G479" s="247"/>
      <c r="H479" s="249"/>
    </row>
    <row r="480" spans="1:8" s="60" customFormat="1" ht="18" customHeight="1" thickTop="1" x14ac:dyDescent="0.15">
      <c r="A480" s="180"/>
      <c r="B480" s="181"/>
      <c r="C480" s="52"/>
      <c r="D480" s="51" t="s">
        <v>39</v>
      </c>
      <c r="E480" s="50" t="s">
        <v>39</v>
      </c>
      <c r="F480" s="49" t="s">
        <v>39</v>
      </c>
      <c r="G480" s="49" t="s">
        <v>39</v>
      </c>
      <c r="H480" s="48" t="s">
        <v>39</v>
      </c>
    </row>
    <row r="481" spans="1:8" ht="21.75" customHeight="1" x14ac:dyDescent="0.15">
      <c r="A481" s="250" t="s">
        <v>38</v>
      </c>
      <c r="B481" s="61" t="s">
        <v>37</v>
      </c>
      <c r="C481" s="62">
        <v>3984</v>
      </c>
      <c r="D481" s="63">
        <f>QUOTIENT(770232145806273,1000000)</f>
        <v>770232145</v>
      </c>
      <c r="E481" s="63">
        <f>QUOTIENT(277756426941271,1000000)</f>
        <v>277756426</v>
      </c>
      <c r="F481" s="64">
        <f>QUOTIENT(248288184721066,1000000)</f>
        <v>248288184</v>
      </c>
      <c r="G481" s="64">
        <f>QUOTIENT(234136297345517,1000000)</f>
        <v>234136297</v>
      </c>
      <c r="H481" s="65">
        <f>QUOTIENT(10051236798418,1000000)</f>
        <v>10051236</v>
      </c>
    </row>
    <row r="482" spans="1:8" ht="21.75" customHeight="1" x14ac:dyDescent="0.15">
      <c r="A482" s="250"/>
      <c r="B482" s="66" t="s">
        <v>36</v>
      </c>
      <c r="C482" s="67">
        <v>15</v>
      </c>
      <c r="D482" s="68">
        <f>QUOTIENT(15604269000,1000000)</f>
        <v>15604</v>
      </c>
      <c r="E482" s="68">
        <f>QUOTIENT(11115357500,1000000)</f>
        <v>11115</v>
      </c>
      <c r="F482" s="69">
        <f>QUOTIENT(4162200000,1000000)</f>
        <v>4162</v>
      </c>
      <c r="G482" s="69">
        <f>QUOTIENT(325718000,1000000)</f>
        <v>325</v>
      </c>
      <c r="H482" s="115">
        <f>QUOTIENT(993500,1000000)</f>
        <v>0</v>
      </c>
    </row>
    <row r="483" spans="1:8" ht="21.75" customHeight="1" x14ac:dyDescent="0.15">
      <c r="A483" s="250"/>
      <c r="B483" s="66" t="s">
        <v>35</v>
      </c>
      <c r="C483" s="67">
        <v>122</v>
      </c>
      <c r="D483" s="68">
        <f>QUOTIENT(247517382,1000000)</f>
        <v>247</v>
      </c>
      <c r="E483" s="68">
        <f>QUOTIENT(239824550,1000000)</f>
        <v>239</v>
      </c>
      <c r="F483" s="182">
        <f>QUOTIENT(488000,1000000)</f>
        <v>0</v>
      </c>
      <c r="G483" s="69">
        <f>QUOTIENT(0,1000000)</f>
        <v>0</v>
      </c>
      <c r="H483" s="70">
        <f>QUOTIENT(7204832,1000000)</f>
        <v>7</v>
      </c>
    </row>
    <row r="484" spans="1:8" ht="21.75" customHeight="1" x14ac:dyDescent="0.15">
      <c r="A484" s="250"/>
      <c r="B484" s="71" t="s">
        <v>34</v>
      </c>
      <c r="C484" s="72">
        <v>1</v>
      </c>
      <c r="D484" s="73">
        <f>QUOTIENT(193486250400,1000000)</f>
        <v>193486</v>
      </c>
      <c r="E484" s="73">
        <f>QUOTIENT(145822958800,1000000)</f>
        <v>145822</v>
      </c>
      <c r="F484" s="74">
        <f>QUOTIENT(9496432000,1000000)</f>
        <v>9496</v>
      </c>
      <c r="G484" s="74">
        <f>QUOTIENT(35333229200,1000000)</f>
        <v>35333</v>
      </c>
      <c r="H484" s="75">
        <f>QUOTIENT(2833630400,1000000)</f>
        <v>2833</v>
      </c>
    </row>
    <row r="485" spans="1:8" ht="21.75" customHeight="1" x14ac:dyDescent="0.15">
      <c r="A485" s="250"/>
      <c r="B485" s="66" t="s">
        <v>33</v>
      </c>
      <c r="C485" s="67">
        <v>65</v>
      </c>
      <c r="D485" s="68">
        <f>QUOTIENT(15881908641500,1000000)</f>
        <v>15881908</v>
      </c>
      <c r="E485" s="68">
        <f>QUOTIENT(3872265319000,1000000)</f>
        <v>3872265</v>
      </c>
      <c r="F485" s="69">
        <f>QUOTIENT(4448182092000,1000000)</f>
        <v>4448182</v>
      </c>
      <c r="G485" s="69">
        <f>QUOTIENT(7412645728800,1000000)</f>
        <v>7412645</v>
      </c>
      <c r="H485" s="70">
        <f>QUOTIENT(148815501700,1000000)</f>
        <v>148815</v>
      </c>
    </row>
    <row r="486" spans="1:8" ht="21.75" customHeight="1" x14ac:dyDescent="0.15">
      <c r="A486" s="250"/>
      <c r="B486" s="76" t="s">
        <v>32</v>
      </c>
      <c r="C486" s="67">
        <v>253</v>
      </c>
      <c r="D486" s="68">
        <f>QUOTIENT(64742748366353,1000000)</f>
        <v>64742748</v>
      </c>
      <c r="E486" s="68">
        <f>QUOTIENT(4968395813681,1000000)</f>
        <v>4968395</v>
      </c>
      <c r="F486" s="69">
        <f>QUOTIENT(1684083599378,1000000)</f>
        <v>1684083</v>
      </c>
      <c r="G486" s="69">
        <f>QUOTIENT(57917403513537,1000000)</f>
        <v>57917403</v>
      </c>
      <c r="H486" s="70">
        <f>QUOTIENT(172865439756,1000000)</f>
        <v>172865</v>
      </c>
    </row>
    <row r="487" spans="1:8" ht="21.75" customHeight="1" x14ac:dyDescent="0.15">
      <c r="A487" s="251"/>
      <c r="B487" s="77" t="s">
        <v>31</v>
      </c>
      <c r="C487" s="72">
        <v>44</v>
      </c>
      <c r="D487" s="73">
        <f>QUOTIENT(471767306560,1000000)</f>
        <v>471767</v>
      </c>
      <c r="E487" s="73">
        <f>QUOTIENT(320580377297,1000000)</f>
        <v>320580</v>
      </c>
      <c r="F487" s="74">
        <f>QUOTIENT(7084593896,1000000)</f>
        <v>7084</v>
      </c>
      <c r="G487" s="74">
        <f>QUOTIENT(131202432468,1000000)</f>
        <v>131202</v>
      </c>
      <c r="H487" s="75">
        <f>QUOTIENT(12899902899,1000000)</f>
        <v>12899</v>
      </c>
    </row>
    <row r="488" spans="1:8" ht="21.75" customHeight="1" x14ac:dyDescent="0.15">
      <c r="A488" s="30" t="s">
        <v>30</v>
      </c>
      <c r="B488" s="78" t="s">
        <v>29</v>
      </c>
      <c r="C488" s="79">
        <v>27</v>
      </c>
      <c r="D488" s="80">
        <f>QUOTIENT(137096521666,1000000)</f>
        <v>137096</v>
      </c>
      <c r="E488" s="80">
        <f>QUOTIENT(121914197819,1000000)</f>
        <v>121914</v>
      </c>
      <c r="F488" s="81">
        <f>QUOTIENT(2925694343,1000000)</f>
        <v>2925</v>
      </c>
      <c r="G488" s="81">
        <f>QUOTIENT(0,1000000)</f>
        <v>0</v>
      </c>
      <c r="H488" s="82">
        <f>QUOTIENT(12256629504,1000000)</f>
        <v>12256</v>
      </c>
    </row>
    <row r="489" spans="1:8" ht="21.75" customHeight="1" x14ac:dyDescent="0.15">
      <c r="A489" s="252" t="s">
        <v>28</v>
      </c>
      <c r="B489" s="17" t="s">
        <v>27</v>
      </c>
      <c r="C489" s="16">
        <v>3473</v>
      </c>
      <c r="D489" s="83">
        <f>QUOTIENT(65002078570000,1000000)</f>
        <v>65002078</v>
      </c>
      <c r="E489" s="83">
        <f>QUOTIENT(10584383140000,1000000)</f>
        <v>10584383</v>
      </c>
      <c r="F489" s="84">
        <f>QUOTIENT(29231347610000,1000000)</f>
        <v>29231347</v>
      </c>
      <c r="G489" s="84">
        <f>QUOTIENT(25055133240000,1000000)</f>
        <v>25055133</v>
      </c>
      <c r="H489" s="85">
        <f>QUOTIENT(131214580000,1000000)</f>
        <v>131214</v>
      </c>
    </row>
    <row r="490" spans="1:8" ht="21.75" customHeight="1" x14ac:dyDescent="0.15">
      <c r="A490" s="250"/>
      <c r="B490" s="23" t="s">
        <v>26</v>
      </c>
      <c r="C490" s="22">
        <v>3488</v>
      </c>
      <c r="D490" s="86">
        <f>QUOTIENT(15009030544000,1000000)</f>
        <v>15009030</v>
      </c>
      <c r="E490" s="86">
        <f>QUOTIENT(509746036000,1000000)</f>
        <v>509746</v>
      </c>
      <c r="F490" s="87">
        <f>QUOTIENT(9753180268000,1000000)</f>
        <v>9753180</v>
      </c>
      <c r="G490" s="87">
        <f>QUOTIENT(4735167240000,1000000)</f>
        <v>4735167</v>
      </c>
      <c r="H490" s="88">
        <f>QUOTIENT(10937000000,1000000)</f>
        <v>10937</v>
      </c>
    </row>
    <row r="491" spans="1:8" ht="21.75" customHeight="1" x14ac:dyDescent="0.15">
      <c r="A491" s="250"/>
      <c r="B491" s="24" t="s">
        <v>25</v>
      </c>
      <c r="C491" s="22">
        <v>548</v>
      </c>
      <c r="D491" s="86">
        <f>QUOTIENT(19642900000000,1000000)</f>
        <v>19642900</v>
      </c>
      <c r="E491" s="86">
        <f>QUOTIENT(1624307000000,1000000)</f>
        <v>1624307</v>
      </c>
      <c r="F491" s="87">
        <f>QUOTIENT(8018627400000,1000000)</f>
        <v>8018627</v>
      </c>
      <c r="G491" s="87">
        <f>QUOTIENT(9954885600000,1000000)</f>
        <v>9954885</v>
      </c>
      <c r="H491" s="88">
        <f>QUOTIENT(45080000000,1000000)</f>
        <v>45080</v>
      </c>
    </row>
    <row r="492" spans="1:8" ht="21.75" customHeight="1" x14ac:dyDescent="0.15">
      <c r="A492" s="250"/>
      <c r="B492" s="23" t="s">
        <v>24</v>
      </c>
      <c r="C492" s="22">
        <v>2117</v>
      </c>
      <c r="D492" s="86">
        <f>QUOTIENT(55436300000000,1000000)</f>
        <v>55436300</v>
      </c>
      <c r="E492" s="86">
        <f>QUOTIENT(7834324680000,1000000)</f>
        <v>7834324</v>
      </c>
      <c r="F492" s="87">
        <f>QUOTIENT(19302705320000,1000000)</f>
        <v>19302705</v>
      </c>
      <c r="G492" s="87">
        <f>QUOTIENT(28291920000000,1000000)</f>
        <v>28291920</v>
      </c>
      <c r="H492" s="88">
        <f>QUOTIENT(7350000000,1000000)</f>
        <v>7350</v>
      </c>
    </row>
    <row r="493" spans="1:8" ht="21.75" customHeight="1" x14ac:dyDescent="0.15">
      <c r="A493" s="250"/>
      <c r="B493" s="23" t="s">
        <v>23</v>
      </c>
      <c r="C493" s="22">
        <v>515</v>
      </c>
      <c r="D493" s="86">
        <f>QUOTIENT(5181050000000,1000000)</f>
        <v>5181050</v>
      </c>
      <c r="E493" s="86">
        <f>QUOTIENT(291997800000,1000000)</f>
        <v>291997</v>
      </c>
      <c r="F493" s="87">
        <f>QUOTIENT(87579400000,1000000)</f>
        <v>87579</v>
      </c>
      <c r="G493" s="87">
        <f>QUOTIENT(4801472800000,1000000)</f>
        <v>4801472</v>
      </c>
      <c r="H493" s="88">
        <f>QUOTIENT(0,1000000)</f>
        <v>0</v>
      </c>
    </row>
    <row r="494" spans="1:8" ht="21.75" customHeight="1" x14ac:dyDescent="0.15">
      <c r="A494" s="250"/>
      <c r="B494" s="23" t="s">
        <v>22</v>
      </c>
      <c r="C494" s="22">
        <v>174</v>
      </c>
      <c r="D494" s="86">
        <f>QUOTIENT(1310900000000,1000000)</f>
        <v>1310900</v>
      </c>
      <c r="E494" s="86">
        <f>QUOTIENT(331870000000,1000000)</f>
        <v>331870</v>
      </c>
      <c r="F494" s="87">
        <f>QUOTIENT(472800000000,1000000)</f>
        <v>472800</v>
      </c>
      <c r="G494" s="87">
        <f>QUOTIENT(506230000000,1000000)</f>
        <v>506230</v>
      </c>
      <c r="H494" s="88">
        <f>QUOTIENT(0,1000000)</f>
        <v>0</v>
      </c>
    </row>
    <row r="495" spans="1:8" ht="21.75" customHeight="1" x14ac:dyDescent="0.15">
      <c r="A495" s="250"/>
      <c r="B495" s="23" t="s">
        <v>21</v>
      </c>
      <c r="C495" s="22">
        <v>19</v>
      </c>
      <c r="D495" s="86">
        <f>QUOTIENT(121410000000,1000000)</f>
        <v>121410</v>
      </c>
      <c r="E495" s="86">
        <f>QUOTIENT(108903000000,1000000)</f>
        <v>108903</v>
      </c>
      <c r="F495" s="87">
        <f>QUOTIENT(6220000000,1000000)</f>
        <v>6220</v>
      </c>
      <c r="G495" s="87">
        <f>QUOTIENT(6287000000,1000000)</f>
        <v>6287</v>
      </c>
      <c r="H495" s="88">
        <f>QUOTIENT(0,1000000)</f>
        <v>0</v>
      </c>
    </row>
    <row r="496" spans="1:8" ht="21.75" customHeight="1" x14ac:dyDescent="0.15">
      <c r="A496" s="250"/>
      <c r="B496" s="23" t="s">
        <v>20</v>
      </c>
      <c r="C496" s="22">
        <v>0</v>
      </c>
      <c r="D496" s="86">
        <f>QUOTIENT(0,1000000)</f>
        <v>0</v>
      </c>
      <c r="E496" s="86">
        <f>QUOTIENT(0,1000000)</f>
        <v>0</v>
      </c>
      <c r="F496" s="87">
        <f>QUOTIENT(0,1000000)</f>
        <v>0</v>
      </c>
      <c r="G496" s="87">
        <f>QUOTIENT(0,1000000)</f>
        <v>0</v>
      </c>
      <c r="H496" s="88">
        <f>QUOTIENT(0,1000000)</f>
        <v>0</v>
      </c>
    </row>
    <row r="497" spans="1:8" ht="21.75" customHeight="1" x14ac:dyDescent="0.15">
      <c r="A497" s="250"/>
      <c r="B497" s="23" t="s">
        <v>19</v>
      </c>
      <c r="C497" s="22">
        <v>205</v>
      </c>
      <c r="D497" s="86">
        <f>QUOTIENT(4973550000000,1000000)</f>
        <v>4973550</v>
      </c>
      <c r="E497" s="86">
        <f>QUOTIENT(556780000000,1000000)</f>
        <v>556780</v>
      </c>
      <c r="F497" s="87">
        <f>QUOTIENT(2595020000000,1000000)</f>
        <v>2595020</v>
      </c>
      <c r="G497" s="87">
        <f>QUOTIENT(1778650000000,1000000)</f>
        <v>1778650</v>
      </c>
      <c r="H497" s="88">
        <f>QUOTIENT(43100000000,1000000)</f>
        <v>43100</v>
      </c>
    </row>
    <row r="498" spans="1:8" ht="21.75" customHeight="1" x14ac:dyDescent="0.15">
      <c r="A498" s="250"/>
      <c r="B498" s="23" t="s">
        <v>18</v>
      </c>
      <c r="C498" s="22">
        <v>4155</v>
      </c>
      <c r="D498" s="86">
        <f>QUOTIENT(86818489500000,1000000)</f>
        <v>86818489</v>
      </c>
      <c r="E498" s="86">
        <f>QUOTIENT(22069520200000,1000000)</f>
        <v>22069520</v>
      </c>
      <c r="F498" s="87">
        <f>QUOTIENT(29651216500000,1000000)</f>
        <v>29651216</v>
      </c>
      <c r="G498" s="87">
        <f>QUOTIENT(34451863100000,1000000)</f>
        <v>34451863</v>
      </c>
      <c r="H498" s="88">
        <f>QUOTIENT(645889700000,1000000)</f>
        <v>645889</v>
      </c>
    </row>
    <row r="499" spans="1:8" ht="21.75" customHeight="1" x14ac:dyDescent="0.15">
      <c r="A499" s="250"/>
      <c r="B499" s="23" t="s">
        <v>17</v>
      </c>
      <c r="C499" s="22">
        <v>792</v>
      </c>
      <c r="D499" s="86">
        <f>QUOTIENT(18063460000000,1000000)</f>
        <v>18063460</v>
      </c>
      <c r="E499" s="86">
        <f>QUOTIENT(4609245600000,1000000)</f>
        <v>4609245</v>
      </c>
      <c r="F499" s="87">
        <f>QUOTIENT(6058540000000,1000000)</f>
        <v>6058540</v>
      </c>
      <c r="G499" s="87">
        <f>QUOTIENT(7320803400000,1000000)</f>
        <v>7320803</v>
      </c>
      <c r="H499" s="88">
        <f>QUOTIENT(74871000000,1000000)</f>
        <v>74871</v>
      </c>
    </row>
    <row r="500" spans="1:8" ht="21.75" customHeight="1" x14ac:dyDescent="0.15">
      <c r="A500" s="250"/>
      <c r="B500" s="23" t="s">
        <v>16</v>
      </c>
      <c r="C500" s="22">
        <v>63702</v>
      </c>
      <c r="D500" s="86">
        <f>QUOTIENT(15312025879000,1000000)</f>
        <v>15312025</v>
      </c>
      <c r="E500" s="86">
        <f>QUOTIENT(4186427305000,1000000)</f>
        <v>4186427</v>
      </c>
      <c r="F500" s="87">
        <f>QUOTIENT(4774684464000,1000000)</f>
        <v>4774684</v>
      </c>
      <c r="G500" s="87">
        <f>QUOTIENT(6323668510000,1000000)</f>
        <v>6323668</v>
      </c>
      <c r="H500" s="88">
        <f>QUOTIENT(27245600000,1000000)</f>
        <v>27245</v>
      </c>
    </row>
    <row r="501" spans="1:8" ht="21.75" customHeight="1" x14ac:dyDescent="0.15">
      <c r="A501" s="250"/>
      <c r="B501" s="23" t="s">
        <v>15</v>
      </c>
      <c r="C501" s="22">
        <v>452</v>
      </c>
      <c r="D501" s="86">
        <f>QUOTIENT(3681525979000,1000000)</f>
        <v>3681525</v>
      </c>
      <c r="E501" s="86">
        <f>QUOTIENT(3161083705000,1000000)</f>
        <v>3161083</v>
      </c>
      <c r="F501" s="87">
        <f>QUOTIENT(457420784000,1000000)</f>
        <v>457420</v>
      </c>
      <c r="G501" s="87">
        <f>QUOTIENT(62776490000,1000000)</f>
        <v>62776</v>
      </c>
      <c r="H501" s="88">
        <f>QUOTIENT(245000000,1000000)</f>
        <v>245</v>
      </c>
    </row>
    <row r="502" spans="1:8" ht="21.75" customHeight="1" x14ac:dyDescent="0.15">
      <c r="A502" s="250"/>
      <c r="B502" s="23" t="s">
        <v>14</v>
      </c>
      <c r="C502" s="22">
        <v>31</v>
      </c>
      <c r="D502" s="86">
        <f>QUOTIENT(89700000000,1000000)</f>
        <v>89700</v>
      </c>
      <c r="E502" s="86">
        <f>QUOTIENT(18200000000,1000000)</f>
        <v>18200</v>
      </c>
      <c r="F502" s="87">
        <f>QUOTIENT(51400000000,1000000)</f>
        <v>51400</v>
      </c>
      <c r="G502" s="87">
        <f>QUOTIENT(20100000000,1000000)</f>
        <v>20100</v>
      </c>
      <c r="H502" s="88">
        <f>QUOTIENT(0,1000000)</f>
        <v>0</v>
      </c>
    </row>
    <row r="503" spans="1:8" ht="21.75" customHeight="1" x14ac:dyDescent="0.15">
      <c r="A503" s="250"/>
      <c r="B503" s="23" t="s">
        <v>13</v>
      </c>
      <c r="C503" s="22">
        <v>845</v>
      </c>
      <c r="D503" s="86">
        <f>QUOTIENT(3099036145000,1000000)</f>
        <v>3099036</v>
      </c>
      <c r="E503" s="86">
        <f>QUOTIENT(181881780000,1000000)</f>
        <v>181881</v>
      </c>
      <c r="F503" s="87">
        <f>QUOTIENT(1647055815000,1000000)</f>
        <v>1647055</v>
      </c>
      <c r="G503" s="87">
        <f>QUOTIENT(1270098550000,1000000)</f>
        <v>1270098</v>
      </c>
      <c r="H503" s="88">
        <f>QUOTIENT(0,1000000)</f>
        <v>0</v>
      </c>
    </row>
    <row r="504" spans="1:8" ht="21.75" customHeight="1" x14ac:dyDescent="0.15">
      <c r="A504" s="250"/>
      <c r="B504" s="23" t="s">
        <v>12</v>
      </c>
      <c r="C504" s="22">
        <v>278</v>
      </c>
      <c r="D504" s="86">
        <f>QUOTIENT(7108100000000,1000000)</f>
        <v>7108100</v>
      </c>
      <c r="E504" s="86">
        <f>QUOTIENT(1256716000000,1000000)</f>
        <v>1256716</v>
      </c>
      <c r="F504" s="87">
        <f>QUOTIENT(2171622000000,1000000)</f>
        <v>2171622</v>
      </c>
      <c r="G504" s="87">
        <f>QUOTIENT(3649562000000,1000000)</f>
        <v>3649562</v>
      </c>
      <c r="H504" s="88">
        <f>QUOTIENT(30200000000,1000000)</f>
        <v>30200</v>
      </c>
    </row>
    <row r="505" spans="1:8" ht="21.75" customHeight="1" x14ac:dyDescent="0.15">
      <c r="A505" s="250"/>
      <c r="B505" s="23" t="s">
        <v>11</v>
      </c>
      <c r="C505" s="22">
        <v>68</v>
      </c>
      <c r="D505" s="86">
        <f>QUOTIENT(1184150000000,1000000)</f>
        <v>1184150</v>
      </c>
      <c r="E505" s="86">
        <f>QUOTIENT(129800000000,1000000)</f>
        <v>129800</v>
      </c>
      <c r="F505" s="87">
        <f>QUOTIENT(513150000000,1000000)</f>
        <v>513150</v>
      </c>
      <c r="G505" s="87">
        <f>QUOTIENT(541200000000,1000000)</f>
        <v>541200</v>
      </c>
      <c r="H505" s="88">
        <f>QUOTIENT(0,1000000)</f>
        <v>0</v>
      </c>
    </row>
    <row r="506" spans="1:8" ht="21.75" customHeight="1" x14ac:dyDescent="0.15">
      <c r="A506" s="250"/>
      <c r="B506" s="23" t="s">
        <v>10</v>
      </c>
      <c r="C506" s="22">
        <v>0</v>
      </c>
      <c r="D506" s="86">
        <f t="shared" ref="D506:G508" si="17">QUOTIENT(0,1000000)</f>
        <v>0</v>
      </c>
      <c r="E506" s="86">
        <f t="shared" si="17"/>
        <v>0</v>
      </c>
      <c r="F506" s="87">
        <f t="shared" si="17"/>
        <v>0</v>
      </c>
      <c r="G506" s="87">
        <f t="shared" si="17"/>
        <v>0</v>
      </c>
      <c r="H506" s="88">
        <f>QUOTIENT(0,1000000)</f>
        <v>0</v>
      </c>
    </row>
    <row r="507" spans="1:8" ht="21.75" customHeight="1" x14ac:dyDescent="0.15">
      <c r="A507" s="250"/>
      <c r="B507" s="23" t="s">
        <v>9</v>
      </c>
      <c r="C507" s="22">
        <v>0</v>
      </c>
      <c r="D507" s="86">
        <f t="shared" si="17"/>
        <v>0</v>
      </c>
      <c r="E507" s="86">
        <f t="shared" si="17"/>
        <v>0</v>
      </c>
      <c r="F507" s="87">
        <f t="shared" si="17"/>
        <v>0</v>
      </c>
      <c r="G507" s="87">
        <f t="shared" si="17"/>
        <v>0</v>
      </c>
      <c r="H507" s="88">
        <f>QUOTIENT(0,1000000)</f>
        <v>0</v>
      </c>
    </row>
    <row r="508" spans="1:8" ht="21.75" customHeight="1" x14ac:dyDescent="0.15">
      <c r="A508" s="250"/>
      <c r="B508" s="23" t="s">
        <v>8</v>
      </c>
      <c r="C508" s="22">
        <v>0</v>
      </c>
      <c r="D508" s="86">
        <f t="shared" si="17"/>
        <v>0</v>
      </c>
      <c r="E508" s="86">
        <f t="shared" si="17"/>
        <v>0</v>
      </c>
      <c r="F508" s="87">
        <f t="shared" si="17"/>
        <v>0</v>
      </c>
      <c r="G508" s="87">
        <f t="shared" si="17"/>
        <v>0</v>
      </c>
      <c r="H508" s="88">
        <f>QUOTIENT(0,1000000)</f>
        <v>0</v>
      </c>
    </row>
    <row r="509" spans="1:8" ht="21.75" customHeight="1" x14ac:dyDescent="0.15">
      <c r="A509" s="251"/>
      <c r="B509" s="23" t="s">
        <v>7</v>
      </c>
      <c r="C509" s="22">
        <v>87</v>
      </c>
      <c r="D509" s="86">
        <f>QUOTIENT(7080000000,1000000)</f>
        <v>7080</v>
      </c>
      <c r="E509" s="86">
        <f>QUOTIENT(0,1000000)</f>
        <v>0</v>
      </c>
      <c r="F509" s="87">
        <f>QUOTIENT(0,1000000)</f>
        <v>0</v>
      </c>
      <c r="G509" s="87">
        <f>QUOTIENT(7080000000,1000000)</f>
        <v>7080</v>
      </c>
      <c r="H509" s="88">
        <f>QUOTIENT(0,1000000)</f>
        <v>0</v>
      </c>
    </row>
    <row r="510" spans="1:8" ht="21.75" customHeight="1" x14ac:dyDescent="0.15">
      <c r="A510" s="18" t="s">
        <v>6</v>
      </c>
      <c r="B510" s="17" t="s">
        <v>5</v>
      </c>
      <c r="C510" s="16">
        <v>3233</v>
      </c>
      <c r="D510" s="80">
        <v>24259638</v>
      </c>
      <c r="E510" s="80">
        <v>829300</v>
      </c>
      <c r="F510" s="81">
        <v>11136035</v>
      </c>
      <c r="G510" s="81">
        <v>9730729</v>
      </c>
      <c r="H510" s="82">
        <v>2563574</v>
      </c>
    </row>
    <row r="511" spans="1:8" ht="21.75" customHeight="1" x14ac:dyDescent="0.15">
      <c r="A511" s="252" t="s">
        <v>4</v>
      </c>
      <c r="B511" s="12" t="s">
        <v>3</v>
      </c>
      <c r="C511" s="11">
        <v>5647</v>
      </c>
      <c r="D511" s="89">
        <f>QUOTIENT(104476731953232,1000000)</f>
        <v>104476731</v>
      </c>
      <c r="E511" s="89">
        <f>QUOTIENT(65228129908066,1000000)</f>
        <v>65228129</v>
      </c>
      <c r="F511" s="90">
        <f>QUOTIENT(18033228243457,1000000)</f>
        <v>18033228</v>
      </c>
      <c r="G511" s="90">
        <f>QUOTIENT(12905740812994,1000000)</f>
        <v>12905740</v>
      </c>
      <c r="H511" s="91">
        <f>QUOTIENT(8309632988715,1000000)</f>
        <v>8309632</v>
      </c>
    </row>
    <row r="512" spans="1:8" ht="21.75" customHeight="1" thickBot="1" x14ac:dyDescent="0.2">
      <c r="A512" s="253"/>
      <c r="B512" s="7" t="s">
        <v>1153</v>
      </c>
      <c r="C512" s="6">
        <v>8430</v>
      </c>
      <c r="D512" s="92" t="s">
        <v>2178</v>
      </c>
      <c r="E512" s="92" t="s">
        <v>2178</v>
      </c>
      <c r="F512" s="92" t="s">
        <v>2178</v>
      </c>
      <c r="G512" s="92" t="s">
        <v>2178</v>
      </c>
      <c r="H512" s="93" t="s">
        <v>2178</v>
      </c>
    </row>
    <row r="513" spans="1:8" ht="18" customHeight="1" x14ac:dyDescent="0.15">
      <c r="A513" s="3" t="s">
        <v>1155</v>
      </c>
      <c r="B513" s="2"/>
      <c r="C513" s="2"/>
      <c r="D513" s="2"/>
      <c r="E513" s="2"/>
      <c r="F513" s="2"/>
      <c r="G513" s="2"/>
      <c r="H513" s="2"/>
    </row>
    <row r="514" spans="1:8" ht="18" customHeight="1" x14ac:dyDescent="0.15">
      <c r="A514" s="3" t="s">
        <v>2587</v>
      </c>
      <c r="B514" s="2"/>
      <c r="C514" s="2"/>
      <c r="D514" s="2"/>
      <c r="E514" s="2"/>
      <c r="F514" s="2"/>
      <c r="G514" s="2"/>
      <c r="H514" s="2"/>
    </row>
    <row r="515" spans="1:8" ht="18" customHeight="1" x14ac:dyDescent="0.15">
      <c r="A515" s="3" t="s">
        <v>1156</v>
      </c>
      <c r="B515" s="2"/>
      <c r="C515" s="2"/>
      <c r="D515" s="2"/>
      <c r="E515" s="2"/>
      <c r="F515" s="2"/>
      <c r="G515" s="2"/>
      <c r="H515" s="2"/>
    </row>
    <row r="516" spans="1:8" ht="18" customHeight="1" x14ac:dyDescent="0.15">
      <c r="A516" s="3" t="s">
        <v>2578</v>
      </c>
      <c r="B516" s="2"/>
      <c r="C516" s="2"/>
      <c r="D516" s="2"/>
      <c r="E516" s="2"/>
      <c r="F516" s="2"/>
      <c r="G516" s="2"/>
      <c r="H516" s="2"/>
    </row>
    <row r="517" spans="1:8" ht="24" x14ac:dyDescent="0.15">
      <c r="A517" s="230" t="s">
        <v>2575</v>
      </c>
      <c r="B517" s="230"/>
      <c r="C517" s="230"/>
      <c r="D517" s="230"/>
      <c r="E517" s="230"/>
      <c r="F517" s="230"/>
      <c r="G517" s="230"/>
      <c r="H517" s="230"/>
    </row>
    <row r="518" spans="1:8" ht="18" customHeight="1" x14ac:dyDescent="0.15">
      <c r="A518" s="231"/>
      <c r="B518" s="231"/>
      <c r="C518" s="231"/>
      <c r="D518" s="231"/>
      <c r="E518" s="231"/>
      <c r="F518" s="231"/>
      <c r="G518" s="231"/>
      <c r="H518" s="231"/>
    </row>
    <row r="519" spans="1:8" thickBot="1" x14ac:dyDescent="0.2">
      <c r="A519" s="58" t="s">
        <v>2521</v>
      </c>
      <c r="B519"/>
      <c r="C519"/>
      <c r="D519"/>
      <c r="E519"/>
      <c r="F519"/>
      <c r="G519"/>
      <c r="H519"/>
    </row>
    <row r="520" spans="1:8" ht="18" customHeight="1" x14ac:dyDescent="0.15">
      <c r="A520" s="232" t="s">
        <v>2522</v>
      </c>
      <c r="B520" s="235" t="s">
        <v>2523</v>
      </c>
      <c r="C520" s="238" t="s">
        <v>2524</v>
      </c>
      <c r="D520" s="241" t="s">
        <v>2525</v>
      </c>
      <c r="E520" s="176"/>
      <c r="F520" s="56"/>
      <c r="G520" s="56"/>
      <c r="H520" s="55"/>
    </row>
    <row r="521" spans="1:8" ht="18" customHeight="1" x14ac:dyDescent="0.15">
      <c r="A521" s="233"/>
      <c r="B521" s="236"/>
      <c r="C521" s="239"/>
      <c r="D521" s="242"/>
      <c r="E521" s="244" t="s">
        <v>2526</v>
      </c>
      <c r="F521" s="246" t="s">
        <v>2527</v>
      </c>
      <c r="G521" s="246" t="s">
        <v>2528</v>
      </c>
      <c r="H521" s="248" t="s">
        <v>2529</v>
      </c>
    </row>
    <row r="522" spans="1:8" ht="18" customHeight="1" thickBot="1" x14ac:dyDescent="0.2">
      <c r="A522" s="234"/>
      <c r="B522" s="237"/>
      <c r="C522" s="240"/>
      <c r="D522" s="243"/>
      <c r="E522" s="245"/>
      <c r="F522" s="247"/>
      <c r="G522" s="247"/>
      <c r="H522" s="249"/>
    </row>
    <row r="523" spans="1:8" s="60" customFormat="1" ht="18" customHeight="1" thickTop="1" x14ac:dyDescent="0.15">
      <c r="A523" s="177"/>
      <c r="B523" s="178"/>
      <c r="C523" s="52"/>
      <c r="D523" s="51" t="s">
        <v>2530</v>
      </c>
      <c r="E523" s="50" t="s">
        <v>2530</v>
      </c>
      <c r="F523" s="49" t="s">
        <v>2530</v>
      </c>
      <c r="G523" s="49" t="s">
        <v>2530</v>
      </c>
      <c r="H523" s="48" t="s">
        <v>2530</v>
      </c>
    </row>
    <row r="524" spans="1:8" ht="21.75" customHeight="1" x14ac:dyDescent="0.15">
      <c r="A524" s="250" t="s">
        <v>2531</v>
      </c>
      <c r="B524" s="61" t="s">
        <v>2532</v>
      </c>
      <c r="C524" s="62">
        <v>3972</v>
      </c>
      <c r="D524" s="63">
        <v>723438520</v>
      </c>
      <c r="E524" s="63">
        <v>271205276</v>
      </c>
      <c r="F524" s="64">
        <v>221214140</v>
      </c>
      <c r="G524" s="64">
        <v>219769629</v>
      </c>
      <c r="H524" s="65">
        <v>11249473</v>
      </c>
    </row>
    <row r="525" spans="1:8" ht="21.75" customHeight="1" x14ac:dyDescent="0.15">
      <c r="A525" s="250"/>
      <c r="B525" s="66" t="s">
        <v>2533</v>
      </c>
      <c r="C525" s="67">
        <v>16</v>
      </c>
      <c r="D525" s="68">
        <v>15610</v>
      </c>
      <c r="E525" s="68">
        <v>11120</v>
      </c>
      <c r="F525" s="69">
        <v>4163</v>
      </c>
      <c r="G525" s="69">
        <v>325</v>
      </c>
      <c r="H525" s="115">
        <v>0</v>
      </c>
    </row>
    <row r="526" spans="1:8" ht="21.75" customHeight="1" x14ac:dyDescent="0.15">
      <c r="A526" s="250"/>
      <c r="B526" s="66" t="s">
        <v>2534</v>
      </c>
      <c r="C526" s="67">
        <v>123</v>
      </c>
      <c r="D526" s="68">
        <v>0</v>
      </c>
      <c r="E526" s="68">
        <v>0</v>
      </c>
      <c r="F526" s="69">
        <v>0</v>
      </c>
      <c r="G526" s="69">
        <v>0</v>
      </c>
      <c r="H526" s="70">
        <v>0</v>
      </c>
    </row>
    <row r="527" spans="1:8" ht="21.75" customHeight="1" x14ac:dyDescent="0.15">
      <c r="A527" s="250"/>
      <c r="B527" s="71" t="s">
        <v>2535</v>
      </c>
      <c r="C527" s="72">
        <v>1</v>
      </c>
      <c r="D527" s="73">
        <v>193982</v>
      </c>
      <c r="E527" s="73">
        <v>146169</v>
      </c>
      <c r="F527" s="74">
        <v>9549</v>
      </c>
      <c r="G527" s="74">
        <v>35425</v>
      </c>
      <c r="H527" s="75">
        <v>2837</v>
      </c>
    </row>
    <row r="528" spans="1:8" ht="21.75" customHeight="1" x14ac:dyDescent="0.15">
      <c r="A528" s="250"/>
      <c r="B528" s="66" t="s">
        <v>2536</v>
      </c>
      <c r="C528" s="67">
        <v>65</v>
      </c>
      <c r="D528" s="68">
        <v>15122149</v>
      </c>
      <c r="E528" s="68">
        <v>3660699</v>
      </c>
      <c r="F528" s="69">
        <v>4285044</v>
      </c>
      <c r="G528" s="69">
        <v>7035297</v>
      </c>
      <c r="H528" s="70">
        <v>141108</v>
      </c>
    </row>
    <row r="529" spans="1:8" ht="21.75" customHeight="1" x14ac:dyDescent="0.15">
      <c r="A529" s="250"/>
      <c r="B529" s="76" t="s">
        <v>2537</v>
      </c>
      <c r="C529" s="67">
        <v>250</v>
      </c>
      <c r="D529" s="68">
        <v>63342328</v>
      </c>
      <c r="E529" s="68">
        <v>4988179</v>
      </c>
      <c r="F529" s="69">
        <v>1775706</v>
      </c>
      <c r="G529" s="69">
        <v>56344700</v>
      </c>
      <c r="H529" s="70">
        <v>233741</v>
      </c>
    </row>
    <row r="530" spans="1:8" ht="21.75" customHeight="1" x14ac:dyDescent="0.15">
      <c r="A530" s="251"/>
      <c r="B530" s="77" t="s">
        <v>2538</v>
      </c>
      <c r="C530" s="72">
        <v>44</v>
      </c>
      <c r="D530" s="73">
        <v>454772</v>
      </c>
      <c r="E530" s="73">
        <v>307830</v>
      </c>
      <c r="F530" s="74">
        <v>5781</v>
      </c>
      <c r="G530" s="74">
        <v>126688</v>
      </c>
      <c r="H530" s="75">
        <v>14471</v>
      </c>
    </row>
    <row r="531" spans="1:8" ht="21.75" customHeight="1" x14ac:dyDescent="0.15">
      <c r="A531" s="30" t="s">
        <v>2539</v>
      </c>
      <c r="B531" s="78" t="s">
        <v>2540</v>
      </c>
      <c r="C531" s="79">
        <v>27</v>
      </c>
      <c r="D531" s="80">
        <v>136696</v>
      </c>
      <c r="E531" s="80">
        <v>122542</v>
      </c>
      <c r="F531" s="81">
        <v>1802</v>
      </c>
      <c r="G531" s="81">
        <v>0</v>
      </c>
      <c r="H531" s="82">
        <v>12351</v>
      </c>
    </row>
    <row r="532" spans="1:8" ht="21.75" customHeight="1" x14ac:dyDescent="0.15">
      <c r="A532" s="252" t="s">
        <v>2541</v>
      </c>
      <c r="B532" s="17" t="s">
        <v>2542</v>
      </c>
      <c r="C532" s="16">
        <v>3462</v>
      </c>
      <c r="D532" s="83">
        <v>64824078</v>
      </c>
      <c r="E532" s="83">
        <v>10551748</v>
      </c>
      <c r="F532" s="84">
        <v>29310688</v>
      </c>
      <c r="G532" s="84">
        <v>24833297</v>
      </c>
      <c r="H532" s="85">
        <v>128343</v>
      </c>
    </row>
    <row r="533" spans="1:8" ht="21.75" customHeight="1" x14ac:dyDescent="0.15">
      <c r="A533" s="250"/>
      <c r="B533" s="23" t="s">
        <v>2543</v>
      </c>
      <c r="C533" s="22">
        <v>3495</v>
      </c>
      <c r="D533" s="86">
        <v>15032459</v>
      </c>
      <c r="E533" s="86">
        <v>519435</v>
      </c>
      <c r="F533" s="87">
        <v>9776726</v>
      </c>
      <c r="G533" s="87">
        <v>4725361</v>
      </c>
      <c r="H533" s="88">
        <v>10937</v>
      </c>
    </row>
    <row r="534" spans="1:8" ht="21.75" customHeight="1" x14ac:dyDescent="0.15">
      <c r="A534" s="250"/>
      <c r="B534" s="24" t="s">
        <v>2544</v>
      </c>
      <c r="C534" s="22">
        <v>547</v>
      </c>
      <c r="D534" s="86">
        <v>19747900</v>
      </c>
      <c r="E534" s="86">
        <v>1616590</v>
      </c>
      <c r="F534" s="87">
        <v>8137223</v>
      </c>
      <c r="G534" s="87">
        <v>9954205</v>
      </c>
      <c r="H534" s="88">
        <v>39881</v>
      </c>
    </row>
    <row r="535" spans="1:8" ht="21.75" customHeight="1" x14ac:dyDescent="0.15">
      <c r="A535" s="250"/>
      <c r="B535" s="23" t="s">
        <v>2545</v>
      </c>
      <c r="C535" s="22">
        <v>2123</v>
      </c>
      <c r="D535" s="86">
        <v>56892700</v>
      </c>
      <c r="E535" s="86">
        <v>7800994</v>
      </c>
      <c r="F535" s="87">
        <v>19622605</v>
      </c>
      <c r="G535" s="87">
        <v>29461750</v>
      </c>
      <c r="H535" s="88">
        <v>7350</v>
      </c>
    </row>
    <row r="536" spans="1:8" ht="21.75" customHeight="1" x14ac:dyDescent="0.15">
      <c r="A536" s="250"/>
      <c r="B536" s="23" t="s">
        <v>2546</v>
      </c>
      <c r="C536" s="22">
        <v>514</v>
      </c>
      <c r="D536" s="86">
        <v>5190050</v>
      </c>
      <c r="E536" s="86">
        <v>316607</v>
      </c>
      <c r="F536" s="87">
        <v>87163</v>
      </c>
      <c r="G536" s="87">
        <v>4786278</v>
      </c>
      <c r="H536" s="88">
        <v>0</v>
      </c>
    </row>
    <row r="537" spans="1:8" ht="21.75" customHeight="1" x14ac:dyDescent="0.15">
      <c r="A537" s="250"/>
      <c r="B537" s="23" t="s">
        <v>2547</v>
      </c>
      <c r="C537" s="22">
        <v>173</v>
      </c>
      <c r="D537" s="86">
        <v>1306900</v>
      </c>
      <c r="E537" s="86">
        <v>333570</v>
      </c>
      <c r="F537" s="87">
        <v>470000</v>
      </c>
      <c r="G537" s="87">
        <v>503330</v>
      </c>
      <c r="H537" s="88">
        <v>0</v>
      </c>
    </row>
    <row r="538" spans="1:8" ht="21.75" customHeight="1" x14ac:dyDescent="0.15">
      <c r="A538" s="250"/>
      <c r="B538" s="23" t="s">
        <v>2548</v>
      </c>
      <c r="C538" s="22">
        <v>19</v>
      </c>
      <c r="D538" s="86">
        <v>121410</v>
      </c>
      <c r="E538" s="86">
        <v>108903</v>
      </c>
      <c r="F538" s="87">
        <v>6220</v>
      </c>
      <c r="G538" s="87">
        <v>6287</v>
      </c>
      <c r="H538" s="88">
        <v>0</v>
      </c>
    </row>
    <row r="539" spans="1:8" ht="21.75" customHeight="1" x14ac:dyDescent="0.15">
      <c r="A539" s="250"/>
      <c r="B539" s="23" t="s">
        <v>2549</v>
      </c>
      <c r="C539" s="22">
        <v>0</v>
      </c>
      <c r="D539" s="86">
        <v>0</v>
      </c>
      <c r="E539" s="86">
        <v>0</v>
      </c>
      <c r="F539" s="87">
        <v>0</v>
      </c>
      <c r="G539" s="87">
        <v>0</v>
      </c>
      <c r="H539" s="88">
        <v>0</v>
      </c>
    </row>
    <row r="540" spans="1:8" ht="21.75" customHeight="1" x14ac:dyDescent="0.15">
      <c r="A540" s="250"/>
      <c r="B540" s="23" t="s">
        <v>2550</v>
      </c>
      <c r="C540" s="22">
        <v>206</v>
      </c>
      <c r="D540" s="86">
        <v>5027510</v>
      </c>
      <c r="E540" s="86">
        <v>586140</v>
      </c>
      <c r="F540" s="87">
        <v>2588150</v>
      </c>
      <c r="G540" s="87">
        <v>1809620</v>
      </c>
      <c r="H540" s="88">
        <v>43600</v>
      </c>
    </row>
    <row r="541" spans="1:8" ht="21.75" customHeight="1" x14ac:dyDescent="0.15">
      <c r="A541" s="250"/>
      <c r="B541" s="23" t="s">
        <v>2551</v>
      </c>
      <c r="C541" s="22">
        <v>4161</v>
      </c>
      <c r="D541" s="86">
        <v>86289448</v>
      </c>
      <c r="E541" s="86">
        <v>21624578</v>
      </c>
      <c r="F541" s="87">
        <v>29725880</v>
      </c>
      <c r="G541" s="87">
        <v>34288575</v>
      </c>
      <c r="H541" s="88">
        <v>650414</v>
      </c>
    </row>
    <row r="542" spans="1:8" ht="21.75" customHeight="1" x14ac:dyDescent="0.15">
      <c r="A542" s="250"/>
      <c r="B542" s="23" t="s">
        <v>2552</v>
      </c>
      <c r="C542" s="22">
        <v>788</v>
      </c>
      <c r="D542" s="86">
        <v>17788460</v>
      </c>
      <c r="E542" s="86">
        <v>4420536</v>
      </c>
      <c r="F542" s="87">
        <v>6093458</v>
      </c>
      <c r="G542" s="87">
        <v>7199632</v>
      </c>
      <c r="H542" s="88">
        <v>74833</v>
      </c>
    </row>
    <row r="543" spans="1:8" ht="21.75" customHeight="1" x14ac:dyDescent="0.15">
      <c r="A543" s="250"/>
      <c r="B543" s="23" t="s">
        <v>2553</v>
      </c>
      <c r="C543" s="22">
        <v>63745</v>
      </c>
      <c r="D543" s="86">
        <v>15396043</v>
      </c>
      <c r="E543" s="86">
        <v>4250077</v>
      </c>
      <c r="F543" s="87">
        <v>4787749</v>
      </c>
      <c r="G543" s="87">
        <v>6330971</v>
      </c>
      <c r="H543" s="88">
        <v>27245</v>
      </c>
    </row>
    <row r="544" spans="1:8" ht="21.75" customHeight="1" x14ac:dyDescent="0.15">
      <c r="A544" s="250"/>
      <c r="B544" s="23" t="s">
        <v>2554</v>
      </c>
      <c r="C544" s="22">
        <v>455</v>
      </c>
      <c r="D544" s="86">
        <v>3706295</v>
      </c>
      <c r="E544" s="86">
        <v>3185853</v>
      </c>
      <c r="F544" s="87">
        <v>457420</v>
      </c>
      <c r="G544" s="87">
        <v>62776</v>
      </c>
      <c r="H544" s="88">
        <v>245</v>
      </c>
    </row>
    <row r="545" spans="1:8" ht="21.75" customHeight="1" x14ac:dyDescent="0.15">
      <c r="A545" s="250"/>
      <c r="B545" s="23" t="s">
        <v>2555</v>
      </c>
      <c r="C545" s="22">
        <v>31</v>
      </c>
      <c r="D545" s="86">
        <v>89700</v>
      </c>
      <c r="E545" s="86">
        <v>18200</v>
      </c>
      <c r="F545" s="87">
        <v>51400</v>
      </c>
      <c r="G545" s="87">
        <v>20100</v>
      </c>
      <c r="H545" s="88">
        <v>0</v>
      </c>
    </row>
    <row r="546" spans="1:8" ht="21.75" customHeight="1" x14ac:dyDescent="0.15">
      <c r="A546" s="250"/>
      <c r="B546" s="23" t="s">
        <v>2556</v>
      </c>
      <c r="C546" s="22">
        <v>848</v>
      </c>
      <c r="D546" s="86">
        <v>3094364</v>
      </c>
      <c r="E546" s="86">
        <v>179281</v>
      </c>
      <c r="F546" s="87">
        <v>1640762</v>
      </c>
      <c r="G546" s="87">
        <v>1274320</v>
      </c>
      <c r="H546" s="88">
        <v>0</v>
      </c>
    </row>
    <row r="547" spans="1:8" ht="21.75" customHeight="1" x14ac:dyDescent="0.15">
      <c r="A547" s="250"/>
      <c r="B547" s="23" t="s">
        <v>2557</v>
      </c>
      <c r="C547" s="22">
        <v>279</v>
      </c>
      <c r="D547" s="86">
        <v>7165300</v>
      </c>
      <c r="E547" s="86">
        <v>1267316</v>
      </c>
      <c r="F547" s="87">
        <v>2192922</v>
      </c>
      <c r="G547" s="87">
        <v>3681862</v>
      </c>
      <c r="H547" s="88">
        <v>23200</v>
      </c>
    </row>
    <row r="548" spans="1:8" ht="21.75" customHeight="1" x14ac:dyDescent="0.15">
      <c r="A548" s="250"/>
      <c r="B548" s="23" t="s">
        <v>2558</v>
      </c>
      <c r="C548" s="22">
        <v>69</v>
      </c>
      <c r="D548" s="86">
        <v>1187750</v>
      </c>
      <c r="E548" s="86">
        <v>129800</v>
      </c>
      <c r="F548" s="87">
        <v>516750</v>
      </c>
      <c r="G548" s="87">
        <v>541200</v>
      </c>
      <c r="H548" s="88">
        <v>0</v>
      </c>
    </row>
    <row r="549" spans="1:8" ht="21.75" customHeight="1" x14ac:dyDescent="0.15">
      <c r="A549" s="250"/>
      <c r="B549" s="23" t="s">
        <v>2559</v>
      </c>
      <c r="C549" s="22">
        <v>0</v>
      </c>
      <c r="D549" s="86">
        <v>0</v>
      </c>
      <c r="E549" s="86">
        <v>0</v>
      </c>
      <c r="F549" s="87">
        <v>0</v>
      </c>
      <c r="G549" s="87">
        <v>0</v>
      </c>
      <c r="H549" s="88">
        <v>0</v>
      </c>
    </row>
    <row r="550" spans="1:8" ht="21.75" customHeight="1" x14ac:dyDescent="0.15">
      <c r="A550" s="250"/>
      <c r="B550" s="23" t="s">
        <v>2560</v>
      </c>
      <c r="C550" s="22">
        <v>0</v>
      </c>
      <c r="D550" s="86">
        <v>0</v>
      </c>
      <c r="E550" s="86">
        <v>0</v>
      </c>
      <c r="F550" s="87">
        <v>0</v>
      </c>
      <c r="G550" s="87">
        <v>0</v>
      </c>
      <c r="H550" s="88">
        <v>0</v>
      </c>
    </row>
    <row r="551" spans="1:8" ht="21.75" customHeight="1" x14ac:dyDescent="0.15">
      <c r="A551" s="250"/>
      <c r="B551" s="23" t="s">
        <v>2561</v>
      </c>
      <c r="C551" s="22">
        <v>0</v>
      </c>
      <c r="D551" s="86">
        <v>0</v>
      </c>
      <c r="E551" s="86">
        <v>0</v>
      </c>
      <c r="F551" s="87">
        <v>0</v>
      </c>
      <c r="G551" s="87">
        <v>0</v>
      </c>
      <c r="H551" s="88">
        <v>0</v>
      </c>
    </row>
    <row r="552" spans="1:8" ht="21.75" customHeight="1" x14ac:dyDescent="0.15">
      <c r="A552" s="251"/>
      <c r="B552" s="23" t="s">
        <v>2562</v>
      </c>
      <c r="C552" s="22">
        <v>86</v>
      </c>
      <c r="D552" s="86">
        <v>7010</v>
      </c>
      <c r="E552" s="86">
        <v>0</v>
      </c>
      <c r="F552" s="87">
        <v>0</v>
      </c>
      <c r="G552" s="87">
        <v>7010</v>
      </c>
      <c r="H552" s="88">
        <v>0</v>
      </c>
    </row>
    <row r="553" spans="1:8" ht="21.75" customHeight="1" x14ac:dyDescent="0.15">
      <c r="A553" s="18" t="s">
        <v>2563</v>
      </c>
      <c r="B553" s="17" t="s">
        <v>2564</v>
      </c>
      <c r="C553" s="16">
        <v>3052</v>
      </c>
      <c r="D553" s="80">
        <v>19709584</v>
      </c>
      <c r="E553" s="80">
        <v>841400</v>
      </c>
      <c r="F553" s="81">
        <v>8692592</v>
      </c>
      <c r="G553" s="81">
        <v>8151890</v>
      </c>
      <c r="H553" s="82">
        <v>2023702</v>
      </c>
    </row>
    <row r="554" spans="1:8" ht="21.75" customHeight="1" x14ac:dyDescent="0.15">
      <c r="A554" s="252" t="s">
        <v>2565</v>
      </c>
      <c r="B554" s="12" t="s">
        <v>2566</v>
      </c>
      <c r="C554" s="11">
        <v>5650</v>
      </c>
      <c r="D554" s="89">
        <v>102994226</v>
      </c>
      <c r="E554" s="89">
        <v>64241264</v>
      </c>
      <c r="F554" s="90">
        <v>17807065</v>
      </c>
      <c r="G554" s="90">
        <v>12778450</v>
      </c>
      <c r="H554" s="91">
        <v>8167447</v>
      </c>
    </row>
    <row r="555" spans="1:8" ht="21.75" customHeight="1" thickBot="1" x14ac:dyDescent="0.2">
      <c r="A555" s="253"/>
      <c r="B555" s="7" t="s">
        <v>2567</v>
      </c>
      <c r="C555" s="6">
        <v>8409</v>
      </c>
      <c r="D555" s="92" t="s">
        <v>54</v>
      </c>
      <c r="E555" s="92" t="s">
        <v>54</v>
      </c>
      <c r="F555" s="92" t="s">
        <v>54</v>
      </c>
      <c r="G555" s="92" t="s">
        <v>54</v>
      </c>
      <c r="H555" s="93" t="s">
        <v>54</v>
      </c>
    </row>
    <row r="556" spans="1:8" ht="18" customHeight="1" x14ac:dyDescent="0.15">
      <c r="A556" s="3" t="s">
        <v>2568</v>
      </c>
      <c r="B556" s="2"/>
      <c r="C556" s="2"/>
      <c r="D556" s="2"/>
      <c r="E556" s="2"/>
      <c r="F556" s="2"/>
      <c r="G556" s="2"/>
      <c r="H556" s="2"/>
    </row>
    <row r="557" spans="1:8" ht="18" customHeight="1" x14ac:dyDescent="0.15">
      <c r="A557" s="3" t="s">
        <v>2587</v>
      </c>
      <c r="B557" s="2"/>
      <c r="C557" s="2"/>
      <c r="D557" s="2"/>
      <c r="E557" s="2"/>
      <c r="F557" s="2"/>
      <c r="G557" s="2"/>
      <c r="H557" s="2"/>
    </row>
    <row r="558" spans="1:8" ht="18" customHeight="1" x14ac:dyDescent="0.15">
      <c r="A558" s="3" t="s">
        <v>2569</v>
      </c>
      <c r="B558" s="2"/>
      <c r="C558" s="2"/>
      <c r="D558" s="2"/>
      <c r="E558" s="2"/>
      <c r="F558" s="2"/>
      <c r="G558" s="2"/>
      <c r="H558" s="2"/>
    </row>
    <row r="559" spans="1:8" ht="18" customHeight="1" x14ac:dyDescent="0.15">
      <c r="A559" s="3" t="s">
        <v>2576</v>
      </c>
      <c r="B559" s="2"/>
      <c r="C559" s="2"/>
      <c r="D559" s="2"/>
      <c r="E559" s="2"/>
      <c r="F559" s="2"/>
      <c r="G559" s="2"/>
      <c r="H559" s="2"/>
    </row>
    <row r="560" spans="1:8" ht="24" x14ac:dyDescent="0.15">
      <c r="A560" s="230" t="s">
        <v>2573</v>
      </c>
      <c r="B560" s="230"/>
      <c r="C560" s="230"/>
      <c r="D560" s="230"/>
      <c r="E560" s="230"/>
      <c r="F560" s="230"/>
      <c r="G560" s="230"/>
      <c r="H560" s="230"/>
    </row>
    <row r="561" spans="1:8" ht="18" customHeight="1" x14ac:dyDescent="0.15">
      <c r="A561" s="231"/>
      <c r="B561" s="231"/>
      <c r="C561" s="231"/>
      <c r="D561" s="231"/>
      <c r="E561" s="231"/>
      <c r="F561" s="231"/>
      <c r="G561" s="231"/>
      <c r="H561" s="231"/>
    </row>
    <row r="562" spans="1:8" thickBot="1" x14ac:dyDescent="0.2">
      <c r="A562" s="58" t="s">
        <v>48</v>
      </c>
    </row>
    <row r="563" spans="1:8" ht="18" customHeight="1" x14ac:dyDescent="0.15">
      <c r="A563" s="232" t="s">
        <v>47</v>
      </c>
      <c r="B563" s="235" t="s">
        <v>46</v>
      </c>
      <c r="C563" s="238" t="s">
        <v>45</v>
      </c>
      <c r="D563" s="241" t="s">
        <v>44</v>
      </c>
      <c r="E563" s="173"/>
      <c r="F563" s="56"/>
      <c r="G563" s="56"/>
      <c r="H563" s="55"/>
    </row>
    <row r="564" spans="1:8" ht="18" customHeight="1" x14ac:dyDescent="0.15">
      <c r="A564" s="233"/>
      <c r="B564" s="236"/>
      <c r="C564" s="239"/>
      <c r="D564" s="242"/>
      <c r="E564" s="244" t="s">
        <v>43</v>
      </c>
      <c r="F564" s="246" t="s">
        <v>42</v>
      </c>
      <c r="G564" s="246" t="s">
        <v>41</v>
      </c>
      <c r="H564" s="248" t="s">
        <v>40</v>
      </c>
    </row>
    <row r="565" spans="1:8" ht="18" customHeight="1" thickBot="1" x14ac:dyDescent="0.2">
      <c r="A565" s="234"/>
      <c r="B565" s="237"/>
      <c r="C565" s="240"/>
      <c r="D565" s="243"/>
      <c r="E565" s="245"/>
      <c r="F565" s="247"/>
      <c r="G565" s="247"/>
      <c r="H565" s="249"/>
    </row>
    <row r="566" spans="1:8" s="60" customFormat="1" ht="18" customHeight="1" thickTop="1" x14ac:dyDescent="0.15">
      <c r="A566" s="174"/>
      <c r="B566" s="175"/>
      <c r="C566" s="52"/>
      <c r="D566" s="51" t="s">
        <v>39</v>
      </c>
      <c r="E566" s="50" t="s">
        <v>39</v>
      </c>
      <c r="F566" s="49" t="s">
        <v>39</v>
      </c>
      <c r="G566" s="49" t="s">
        <v>39</v>
      </c>
      <c r="H566" s="48" t="s">
        <v>39</v>
      </c>
    </row>
    <row r="567" spans="1:8" ht="21.75" customHeight="1" x14ac:dyDescent="0.15">
      <c r="A567" s="250" t="s">
        <v>38</v>
      </c>
      <c r="B567" s="61" t="s">
        <v>37</v>
      </c>
      <c r="C567" s="62">
        <v>3961</v>
      </c>
      <c r="D567" s="63">
        <f>QUOTIENT(742617551974549,1000000)</f>
        <v>742617551</v>
      </c>
      <c r="E567" s="63">
        <f>QUOTIENT(271744980627636,1000000)</f>
        <v>271744980</v>
      </c>
      <c r="F567" s="64">
        <f>QUOTIENT(233956725662424,1000000)</f>
        <v>233956725</v>
      </c>
      <c r="G567" s="64">
        <f>QUOTIENT(226827469002895,1000000)</f>
        <v>226827469</v>
      </c>
      <c r="H567" s="65">
        <f>QUOTIENT(10088376681593,1000000)</f>
        <v>10088376</v>
      </c>
    </row>
    <row r="568" spans="1:8" ht="21.75" customHeight="1" x14ac:dyDescent="0.15">
      <c r="A568" s="250"/>
      <c r="B568" s="66" t="s">
        <v>36</v>
      </c>
      <c r="C568" s="67">
        <v>16</v>
      </c>
      <c r="D568" s="68">
        <f>QUOTIENT(15673743500,1000000)</f>
        <v>15673</v>
      </c>
      <c r="E568" s="68">
        <f>QUOTIENT(11169922000,1000000)</f>
        <v>11169</v>
      </c>
      <c r="F568" s="69">
        <f>QUOTIENT(4176900000,1000000)</f>
        <v>4176</v>
      </c>
      <c r="G568" s="69">
        <f>QUOTIENT(325928000,1000000)</f>
        <v>325</v>
      </c>
      <c r="H568" s="115">
        <f>QUOTIENT(993500,1000000)</f>
        <v>0</v>
      </c>
    </row>
    <row r="569" spans="1:8" ht="21.75" customHeight="1" x14ac:dyDescent="0.15">
      <c r="A569" s="250"/>
      <c r="B569" s="66" t="s">
        <v>35</v>
      </c>
      <c r="C569" s="67">
        <v>115</v>
      </c>
      <c r="D569" s="68">
        <f>QUOTIENT(0,1000000)</f>
        <v>0</v>
      </c>
      <c r="E569" s="68">
        <f>QUOTIENT(0,1000000)</f>
        <v>0</v>
      </c>
      <c r="F569" s="69">
        <f>QUOTIENT(0,1000000)</f>
        <v>0</v>
      </c>
      <c r="G569" s="69">
        <f>QUOTIENT(0,1000000)</f>
        <v>0</v>
      </c>
      <c r="H569" s="70">
        <f>QUOTIENT(0,1000000)</f>
        <v>0</v>
      </c>
    </row>
    <row r="570" spans="1:8" ht="21.75" customHeight="1" x14ac:dyDescent="0.15">
      <c r="A570" s="250"/>
      <c r="B570" s="71" t="s">
        <v>34</v>
      </c>
      <c r="C570" s="72">
        <v>1</v>
      </c>
      <c r="D570" s="73">
        <f>QUOTIENT(194194472400,1000000)</f>
        <v>194194</v>
      </c>
      <c r="E570" s="73">
        <f>QUOTIENT(146318055600,1000000)</f>
        <v>146318</v>
      </c>
      <c r="F570" s="74">
        <f>QUOTIENT(9540789000,1000000)</f>
        <v>9540</v>
      </c>
      <c r="G570" s="74">
        <f>QUOTIENT(35466399000,1000000)</f>
        <v>35466</v>
      </c>
      <c r="H570" s="75">
        <f>QUOTIENT(2869228800,1000000)</f>
        <v>2869</v>
      </c>
    </row>
    <row r="571" spans="1:8" ht="21.75" customHeight="1" x14ac:dyDescent="0.15">
      <c r="A571" s="250"/>
      <c r="B571" s="66" t="s">
        <v>33</v>
      </c>
      <c r="C571" s="67">
        <v>66</v>
      </c>
      <c r="D571" s="68">
        <f>QUOTIENT(15481752170200,1000000)</f>
        <v>15481752</v>
      </c>
      <c r="E571" s="68">
        <f>QUOTIENT(3929929496450,1000000)</f>
        <v>3929929</v>
      </c>
      <c r="F571" s="69">
        <f>QUOTIENT(4123104776950,1000000)</f>
        <v>4123104</v>
      </c>
      <c r="G571" s="69">
        <f>QUOTIENT(7230350634000,1000000)</f>
        <v>7230350</v>
      </c>
      <c r="H571" s="70">
        <f>QUOTIENT(198367262800,1000000)</f>
        <v>198367</v>
      </c>
    </row>
    <row r="572" spans="1:8" ht="21.75" customHeight="1" x14ac:dyDescent="0.15">
      <c r="A572" s="250"/>
      <c r="B572" s="76" t="s">
        <v>32</v>
      </c>
      <c r="C572" s="67">
        <v>246</v>
      </c>
      <c r="D572" s="68">
        <f>QUOTIENT(61904628927907,1000000)</f>
        <v>61904628</v>
      </c>
      <c r="E572" s="68">
        <f>QUOTIENT(5036757430744,1000000)</f>
        <v>5036757</v>
      </c>
      <c r="F572" s="69">
        <f>QUOTIENT(1559068299041,1000000)</f>
        <v>1559068</v>
      </c>
      <c r="G572" s="69">
        <f>QUOTIENT(55105984355296,1000000)</f>
        <v>55105984</v>
      </c>
      <c r="H572" s="70">
        <f>QUOTIENT(202818842825,1000000)</f>
        <v>202818</v>
      </c>
    </row>
    <row r="573" spans="1:8" ht="21.75" customHeight="1" x14ac:dyDescent="0.15">
      <c r="A573" s="251"/>
      <c r="B573" s="77" t="s">
        <v>31</v>
      </c>
      <c r="C573" s="72">
        <v>44</v>
      </c>
      <c r="D573" s="73">
        <f>QUOTIENT(441651521968,1000000)</f>
        <v>441651</v>
      </c>
      <c r="E573" s="73">
        <f>QUOTIENT(304270039079,1000000)</f>
        <v>304270</v>
      </c>
      <c r="F573" s="74">
        <f>QUOTIENT(7868364559,1000000)</f>
        <v>7868</v>
      </c>
      <c r="G573" s="74">
        <f>QUOTIENT(116340635953,1000000)</f>
        <v>116340</v>
      </c>
      <c r="H573" s="75">
        <f>QUOTIENT(13172482377,1000000)</f>
        <v>13172</v>
      </c>
    </row>
    <row r="574" spans="1:8" ht="21.75" customHeight="1" x14ac:dyDescent="0.15">
      <c r="A574" s="30" t="s">
        <v>30</v>
      </c>
      <c r="B574" s="78" t="s">
        <v>29</v>
      </c>
      <c r="C574" s="79">
        <v>27</v>
      </c>
      <c r="D574" s="80">
        <f>QUOTIENT(137113481792,1000000)</f>
        <v>137113</v>
      </c>
      <c r="E574" s="80">
        <f>QUOTIENT(124320707575,1000000)</f>
        <v>124320</v>
      </c>
      <c r="F574" s="81">
        <f>QUOTIENT(501459700,1000000)</f>
        <v>501</v>
      </c>
      <c r="G574" s="81">
        <f>QUOTIENT(0,1000000)</f>
        <v>0</v>
      </c>
      <c r="H574" s="82">
        <f>QUOTIENT(12291314517,1000000)</f>
        <v>12291</v>
      </c>
    </row>
    <row r="575" spans="1:8" ht="21.75" customHeight="1" x14ac:dyDescent="0.15">
      <c r="A575" s="252" t="s">
        <v>28</v>
      </c>
      <c r="B575" s="17" t="s">
        <v>27</v>
      </c>
      <c r="C575" s="16">
        <v>3472</v>
      </c>
      <c r="D575" s="83">
        <f>QUOTIENT(65102078570000,1000000)</f>
        <v>65102078</v>
      </c>
      <c r="E575" s="83">
        <f>QUOTIENT(10469410670000,1000000)</f>
        <v>10469410</v>
      </c>
      <c r="F575" s="84">
        <f>QUOTIENT(29411683050000,1000000)</f>
        <v>29411683</v>
      </c>
      <c r="G575" s="84">
        <f>QUOTIENT(25092900820000,1000000)</f>
        <v>25092900</v>
      </c>
      <c r="H575" s="85">
        <f>QUOTIENT(128084030000,1000000)</f>
        <v>128084</v>
      </c>
    </row>
    <row r="576" spans="1:8" ht="21.75" customHeight="1" x14ac:dyDescent="0.15">
      <c r="A576" s="250"/>
      <c r="B576" s="23" t="s">
        <v>26</v>
      </c>
      <c r="C576" s="22">
        <v>3538</v>
      </c>
      <c r="D576" s="86">
        <f>QUOTIENT(15260697774000,1000000)</f>
        <v>15260697</v>
      </c>
      <c r="E576" s="86">
        <f>QUOTIENT(513036736000,1000000)</f>
        <v>513036</v>
      </c>
      <c r="F576" s="87">
        <f>QUOTIENT(10007458748000,1000000)</f>
        <v>10007458</v>
      </c>
      <c r="G576" s="87">
        <f>QUOTIENT(4729265290000,1000000)</f>
        <v>4729265</v>
      </c>
      <c r="H576" s="88">
        <f>QUOTIENT(10937000000,1000000)</f>
        <v>10937</v>
      </c>
    </row>
    <row r="577" spans="1:8" ht="21.75" customHeight="1" x14ac:dyDescent="0.15">
      <c r="A577" s="250"/>
      <c r="B577" s="24" t="s">
        <v>25</v>
      </c>
      <c r="C577" s="22">
        <v>546</v>
      </c>
      <c r="D577" s="86">
        <f>QUOTIENT(19953900000000,1000000)</f>
        <v>19953900</v>
      </c>
      <c r="E577" s="86">
        <f>QUOTIENT(1578729000000,1000000)</f>
        <v>1578729</v>
      </c>
      <c r="F577" s="87">
        <f>QUOTIENT(8165891400000,1000000)</f>
        <v>8165891</v>
      </c>
      <c r="G577" s="87">
        <f>QUOTIENT(10162999600000,1000000)</f>
        <v>10162999</v>
      </c>
      <c r="H577" s="88">
        <f>QUOTIENT(46280000000,1000000)</f>
        <v>46280</v>
      </c>
    </row>
    <row r="578" spans="1:8" ht="21.75" customHeight="1" x14ac:dyDescent="0.15">
      <c r="A578" s="250"/>
      <c r="B578" s="23" t="s">
        <v>24</v>
      </c>
      <c r="C578" s="22">
        <v>2134</v>
      </c>
      <c r="D578" s="86">
        <f>QUOTIENT(57070800000000,1000000)</f>
        <v>57070800</v>
      </c>
      <c r="E578" s="86">
        <f>QUOTIENT(7793634680000,1000000)</f>
        <v>7793634</v>
      </c>
      <c r="F578" s="87">
        <f>QUOTIENT(19576345320000,1000000)</f>
        <v>19576345</v>
      </c>
      <c r="G578" s="87">
        <f>QUOTIENT(29693470000000,1000000)</f>
        <v>29693470</v>
      </c>
      <c r="H578" s="88">
        <f>QUOTIENT(7350000000,1000000)</f>
        <v>7350</v>
      </c>
    </row>
    <row r="579" spans="1:8" ht="21.75" customHeight="1" x14ac:dyDescent="0.15">
      <c r="A579" s="250"/>
      <c r="B579" s="23" t="s">
        <v>23</v>
      </c>
      <c r="C579" s="22">
        <v>510</v>
      </c>
      <c r="D579" s="86">
        <f>QUOTIENT(5167649000000,1000000)</f>
        <v>5167649</v>
      </c>
      <c r="E579" s="86">
        <f>QUOTIENT(293515100000,1000000)</f>
        <v>293515</v>
      </c>
      <c r="F579" s="87">
        <f>QUOTIENT(87943400000,1000000)</f>
        <v>87943</v>
      </c>
      <c r="G579" s="87">
        <f>QUOTIENT(4786190500000,1000000)</f>
        <v>4786190</v>
      </c>
      <c r="H579" s="88">
        <f>QUOTIENT(0,1000000)</f>
        <v>0</v>
      </c>
    </row>
    <row r="580" spans="1:8" ht="21.75" customHeight="1" x14ac:dyDescent="0.15">
      <c r="A580" s="250"/>
      <c r="B580" s="23" t="s">
        <v>22</v>
      </c>
      <c r="C580" s="22">
        <v>173</v>
      </c>
      <c r="D580" s="86">
        <f>QUOTIENT(1320900000000,1000000)</f>
        <v>1320900</v>
      </c>
      <c r="E580" s="86">
        <f>QUOTIENT(333320000000,1000000)</f>
        <v>333320</v>
      </c>
      <c r="F580" s="87">
        <f>QUOTIENT(470800000000,1000000)</f>
        <v>470800</v>
      </c>
      <c r="G580" s="87">
        <f>QUOTIENT(516780000000,1000000)</f>
        <v>516780</v>
      </c>
      <c r="H580" s="88">
        <f>QUOTIENT(0,1000000)</f>
        <v>0</v>
      </c>
    </row>
    <row r="581" spans="1:8" ht="21.75" customHeight="1" x14ac:dyDescent="0.15">
      <c r="A581" s="250"/>
      <c r="B581" s="23" t="s">
        <v>21</v>
      </c>
      <c r="C581" s="22">
        <v>21</v>
      </c>
      <c r="D581" s="86">
        <f>QUOTIENT(133500000000,1000000)</f>
        <v>133500</v>
      </c>
      <c r="E581" s="86">
        <f>QUOTIENT(110493000000,1000000)</f>
        <v>110493</v>
      </c>
      <c r="F581" s="87">
        <f>QUOTIENT(13145000000,1000000)</f>
        <v>13145</v>
      </c>
      <c r="G581" s="87">
        <f>QUOTIENT(9862000000,1000000)</f>
        <v>9862</v>
      </c>
      <c r="H581" s="88">
        <f>QUOTIENT(0,1000000)</f>
        <v>0</v>
      </c>
    </row>
    <row r="582" spans="1:8" ht="21.75" customHeight="1" x14ac:dyDescent="0.15">
      <c r="A582" s="250"/>
      <c r="B582" s="23" t="s">
        <v>20</v>
      </c>
      <c r="C582" s="22">
        <v>0</v>
      </c>
      <c r="D582" s="86">
        <f>QUOTIENT(0,1000000)</f>
        <v>0</v>
      </c>
      <c r="E582" s="86">
        <f>QUOTIENT(0,1000000)</f>
        <v>0</v>
      </c>
      <c r="F582" s="87">
        <f>QUOTIENT(0,1000000)</f>
        <v>0</v>
      </c>
      <c r="G582" s="87">
        <f>QUOTIENT(0,1000000)</f>
        <v>0</v>
      </c>
      <c r="H582" s="88">
        <f>QUOTIENT(0,1000000)</f>
        <v>0</v>
      </c>
    </row>
    <row r="583" spans="1:8" ht="21.75" customHeight="1" x14ac:dyDescent="0.15">
      <c r="A583" s="250"/>
      <c r="B583" s="23" t="s">
        <v>19</v>
      </c>
      <c r="C583" s="22">
        <v>206</v>
      </c>
      <c r="D583" s="86">
        <f>QUOTIENT(5024920000000,1000000)</f>
        <v>5024920</v>
      </c>
      <c r="E583" s="86">
        <f>QUOTIENT(585780000000,1000000)</f>
        <v>585780</v>
      </c>
      <c r="F583" s="87">
        <f>QUOTIENT(2568660000000,1000000)</f>
        <v>2568660</v>
      </c>
      <c r="G583" s="87">
        <f>QUOTIENT(1826880000000,1000000)</f>
        <v>1826880</v>
      </c>
      <c r="H583" s="88">
        <f>QUOTIENT(43600000000,1000000)</f>
        <v>43600</v>
      </c>
    </row>
    <row r="584" spans="1:8" ht="21.75" customHeight="1" x14ac:dyDescent="0.15">
      <c r="A584" s="250"/>
      <c r="B584" s="23" t="s">
        <v>18</v>
      </c>
      <c r="C584" s="22">
        <v>4142</v>
      </c>
      <c r="D584" s="86">
        <f>QUOTIENT(86001629000000,1000000)</f>
        <v>86001629</v>
      </c>
      <c r="E584" s="86">
        <f>QUOTIENT(21227400200000,1000000)</f>
        <v>21227400</v>
      </c>
      <c r="F584" s="87">
        <f>QUOTIENT(30062369300000,1000000)</f>
        <v>30062369</v>
      </c>
      <c r="G584" s="87">
        <f>QUOTIENT(34056329800000,1000000)</f>
        <v>34056329</v>
      </c>
      <c r="H584" s="88">
        <f>QUOTIENT(655529700000,1000000)</f>
        <v>655529</v>
      </c>
    </row>
    <row r="585" spans="1:8" ht="21.75" customHeight="1" x14ac:dyDescent="0.15">
      <c r="A585" s="250"/>
      <c r="B585" s="23" t="s">
        <v>17</v>
      </c>
      <c r="C585" s="22">
        <v>793</v>
      </c>
      <c r="D585" s="86">
        <f>QUOTIENT(18073460000000,1000000)</f>
        <v>18073460</v>
      </c>
      <c r="E585" s="86">
        <f>QUOTIENT(4445353500000,1000000)</f>
        <v>4445353</v>
      </c>
      <c r="F585" s="87">
        <f>QUOTIENT(6210180100000,1000000)</f>
        <v>6210180</v>
      </c>
      <c r="G585" s="87">
        <f>QUOTIENT(7342753400000,1000000)</f>
        <v>7342753</v>
      </c>
      <c r="H585" s="88">
        <f>QUOTIENT(75173000000,1000000)</f>
        <v>75173</v>
      </c>
    </row>
    <row r="586" spans="1:8" ht="21.75" customHeight="1" x14ac:dyDescent="0.15">
      <c r="A586" s="250"/>
      <c r="B586" s="23" t="s">
        <v>16</v>
      </c>
      <c r="C586" s="22">
        <v>64010</v>
      </c>
      <c r="D586" s="86">
        <f>QUOTIENT(15424382667000,1000000)</f>
        <v>15424382</v>
      </c>
      <c r="E586" s="86">
        <f>QUOTIENT(4240029123000,1000000)</f>
        <v>4240029</v>
      </c>
      <c r="F586" s="87">
        <f>QUOTIENT(4817819814000,1000000)</f>
        <v>4817819</v>
      </c>
      <c r="G586" s="87">
        <f>QUOTIENT(6339318230000,1000000)</f>
        <v>6339318</v>
      </c>
      <c r="H586" s="88">
        <f>QUOTIENT(27215500000,1000000)</f>
        <v>27215</v>
      </c>
    </row>
    <row r="587" spans="1:8" ht="21.75" customHeight="1" x14ac:dyDescent="0.15">
      <c r="A587" s="250"/>
      <c r="B587" s="23" t="s">
        <v>15</v>
      </c>
      <c r="C587" s="22">
        <v>457</v>
      </c>
      <c r="D587" s="86">
        <f>QUOTIENT(3753131797000,1000000)</f>
        <v>3753131</v>
      </c>
      <c r="E587" s="86">
        <f>QUOTIENT(3213629523000,1000000)</f>
        <v>3213629</v>
      </c>
      <c r="F587" s="87">
        <f>QUOTIENT(457280784000,1000000)</f>
        <v>457280</v>
      </c>
      <c r="G587" s="87">
        <f>QUOTIENT(81976490000,1000000)</f>
        <v>81976</v>
      </c>
      <c r="H587" s="88">
        <f>QUOTIENT(245000000,1000000)</f>
        <v>245</v>
      </c>
    </row>
    <row r="588" spans="1:8" ht="21.75" customHeight="1" x14ac:dyDescent="0.15">
      <c r="A588" s="250"/>
      <c r="B588" s="23" t="s">
        <v>14</v>
      </c>
      <c r="C588" s="22">
        <v>31</v>
      </c>
      <c r="D588" s="86">
        <f>QUOTIENT(89700000000,1000000)</f>
        <v>89700</v>
      </c>
      <c r="E588" s="86">
        <f>QUOTIENT(18300000000,1000000)</f>
        <v>18300</v>
      </c>
      <c r="F588" s="87">
        <f>QUOTIENT(51800000000,1000000)</f>
        <v>51800</v>
      </c>
      <c r="G588" s="87">
        <f>QUOTIENT(19600000000,1000000)</f>
        <v>19600</v>
      </c>
      <c r="H588" s="88">
        <f>QUOTIENT(0,1000000)</f>
        <v>0</v>
      </c>
    </row>
    <row r="589" spans="1:8" ht="21.75" customHeight="1" x14ac:dyDescent="0.15">
      <c r="A589" s="250"/>
      <c r="B589" s="23" t="s">
        <v>13</v>
      </c>
      <c r="C589" s="22">
        <v>833</v>
      </c>
      <c r="D589" s="86">
        <f>QUOTIENT(3079895098000,1000000)</f>
        <v>3079895</v>
      </c>
      <c r="E589" s="86">
        <f>QUOTIENT(179551780000,1000000)</f>
        <v>179551</v>
      </c>
      <c r="F589" s="87">
        <f>QUOTIENT(1654022768000,1000000)</f>
        <v>1654022</v>
      </c>
      <c r="G589" s="87">
        <f>QUOTIENT(1246320550000,1000000)</f>
        <v>1246320</v>
      </c>
      <c r="H589" s="88">
        <f>QUOTIENT(0,1000000)</f>
        <v>0</v>
      </c>
    </row>
    <row r="590" spans="1:8" ht="21.75" customHeight="1" x14ac:dyDescent="0.15">
      <c r="A590" s="250"/>
      <c r="B590" s="23" t="s">
        <v>12</v>
      </c>
      <c r="C590" s="22">
        <v>279</v>
      </c>
      <c r="D590" s="86">
        <f>QUOTIENT(7165300000000,1000000)</f>
        <v>7165300</v>
      </c>
      <c r="E590" s="86">
        <f>QUOTIENT(1257718000000,1000000)</f>
        <v>1257718</v>
      </c>
      <c r="F590" s="87">
        <f>QUOTIENT(2200020000000,1000000)</f>
        <v>2200020</v>
      </c>
      <c r="G590" s="87">
        <f>QUOTIENT(3684362000000,1000000)</f>
        <v>3684362</v>
      </c>
      <c r="H590" s="88">
        <f>QUOTIENT(23200000000,1000000)</f>
        <v>23200</v>
      </c>
    </row>
    <row r="591" spans="1:8" ht="21.75" customHeight="1" x14ac:dyDescent="0.15">
      <c r="A591" s="250"/>
      <c r="B591" s="23" t="s">
        <v>11</v>
      </c>
      <c r="C591" s="22">
        <v>69</v>
      </c>
      <c r="D591" s="86">
        <f>QUOTIENT(1187350000000,1000000)</f>
        <v>1187350</v>
      </c>
      <c r="E591" s="86">
        <f>QUOTIENT(126100000000,1000000)</f>
        <v>126100</v>
      </c>
      <c r="F591" s="87">
        <f>QUOTIENT(523050000000,1000000)</f>
        <v>523050</v>
      </c>
      <c r="G591" s="87">
        <f>QUOTIENT(538200000000,1000000)</f>
        <v>538200</v>
      </c>
      <c r="H591" s="88">
        <f>QUOTIENT(0,1000000)</f>
        <v>0</v>
      </c>
    </row>
    <row r="592" spans="1:8" ht="21.75" customHeight="1" x14ac:dyDescent="0.15">
      <c r="A592" s="250"/>
      <c r="B592" s="23" t="s">
        <v>10</v>
      </c>
      <c r="C592" s="22">
        <v>0</v>
      </c>
      <c r="D592" s="86">
        <f t="shared" ref="D592:G594" si="18">QUOTIENT(0,1000000)</f>
        <v>0</v>
      </c>
      <c r="E592" s="86">
        <f t="shared" si="18"/>
        <v>0</v>
      </c>
      <c r="F592" s="87">
        <f t="shared" si="18"/>
        <v>0</v>
      </c>
      <c r="G592" s="87">
        <f t="shared" si="18"/>
        <v>0</v>
      </c>
      <c r="H592" s="88">
        <f>QUOTIENT(0,1000000)</f>
        <v>0</v>
      </c>
    </row>
    <row r="593" spans="1:8" ht="21.75" customHeight="1" x14ac:dyDescent="0.15">
      <c r="A593" s="250"/>
      <c r="B593" s="23" t="s">
        <v>9</v>
      </c>
      <c r="C593" s="22">
        <v>0</v>
      </c>
      <c r="D593" s="86">
        <f t="shared" si="18"/>
        <v>0</v>
      </c>
      <c r="E593" s="86">
        <f t="shared" si="18"/>
        <v>0</v>
      </c>
      <c r="F593" s="87">
        <f t="shared" si="18"/>
        <v>0</v>
      </c>
      <c r="G593" s="87">
        <f t="shared" si="18"/>
        <v>0</v>
      </c>
      <c r="H593" s="88">
        <f>QUOTIENT(0,1000000)</f>
        <v>0</v>
      </c>
    </row>
    <row r="594" spans="1:8" ht="21.75" customHeight="1" x14ac:dyDescent="0.15">
      <c r="A594" s="250"/>
      <c r="B594" s="23" t="s">
        <v>8</v>
      </c>
      <c r="C594" s="22">
        <v>0</v>
      </c>
      <c r="D594" s="86">
        <f t="shared" si="18"/>
        <v>0</v>
      </c>
      <c r="E594" s="86">
        <f t="shared" si="18"/>
        <v>0</v>
      </c>
      <c r="F594" s="87">
        <f t="shared" si="18"/>
        <v>0</v>
      </c>
      <c r="G594" s="87">
        <f t="shared" si="18"/>
        <v>0</v>
      </c>
      <c r="H594" s="88">
        <f>QUOTIENT(0,1000000)</f>
        <v>0</v>
      </c>
    </row>
    <row r="595" spans="1:8" ht="21.75" customHeight="1" x14ac:dyDescent="0.15">
      <c r="A595" s="251"/>
      <c r="B595" s="23" t="s">
        <v>7</v>
      </c>
      <c r="C595" s="22">
        <v>75</v>
      </c>
      <c r="D595" s="86">
        <f>QUOTIENT(6350000000,1000000)</f>
        <v>6350</v>
      </c>
      <c r="E595" s="86">
        <f>QUOTIENT(0,1000000)</f>
        <v>0</v>
      </c>
      <c r="F595" s="87">
        <f>QUOTIENT(0,1000000)</f>
        <v>0</v>
      </c>
      <c r="G595" s="87">
        <f>QUOTIENT(6350000000,1000000)</f>
        <v>6350</v>
      </c>
      <c r="H595" s="88">
        <f>QUOTIENT(0,1000000)</f>
        <v>0</v>
      </c>
    </row>
    <row r="596" spans="1:8" ht="21.75" customHeight="1" x14ac:dyDescent="0.15">
      <c r="A596" s="18" t="s">
        <v>6</v>
      </c>
      <c r="B596" s="17" t="s">
        <v>5</v>
      </c>
      <c r="C596" s="16">
        <v>3305</v>
      </c>
      <c r="D596" s="80">
        <v>26781576</v>
      </c>
      <c r="E596" s="80">
        <v>845700</v>
      </c>
      <c r="F596" s="81">
        <v>12591724</v>
      </c>
      <c r="G596" s="81">
        <v>10672552</v>
      </c>
      <c r="H596" s="82">
        <v>2671600</v>
      </c>
    </row>
    <row r="597" spans="1:8" ht="21.75" customHeight="1" x14ac:dyDescent="0.15">
      <c r="A597" s="252" t="s">
        <v>4</v>
      </c>
      <c r="B597" s="12" t="s">
        <v>3</v>
      </c>
      <c r="C597" s="11">
        <v>5637</v>
      </c>
      <c r="D597" s="89">
        <f>QUOTIENT(103093050115914,1000000)</f>
        <v>103093050</v>
      </c>
      <c r="E597" s="89">
        <f>QUOTIENT(64528152917805,1000000)</f>
        <v>64528152</v>
      </c>
      <c r="F597" s="90">
        <f>QUOTIENT(17805807999278,1000000)</f>
        <v>17805807</v>
      </c>
      <c r="G597" s="90">
        <f>QUOTIENT(12696772701720,1000000)</f>
        <v>12696772</v>
      </c>
      <c r="H597" s="91">
        <f>QUOTIENT(8062316497111,1000000)</f>
        <v>8062316</v>
      </c>
    </row>
    <row r="598" spans="1:8" ht="21.75" customHeight="1" thickBot="1" x14ac:dyDescent="0.2">
      <c r="A598" s="253"/>
      <c r="B598" s="7" t="s">
        <v>1153</v>
      </c>
      <c r="C598" s="6">
        <v>8419</v>
      </c>
      <c r="D598" s="92" t="s">
        <v>2178</v>
      </c>
      <c r="E598" s="92" t="s">
        <v>2178</v>
      </c>
      <c r="F598" s="92" t="s">
        <v>2178</v>
      </c>
      <c r="G598" s="92" t="s">
        <v>2178</v>
      </c>
      <c r="H598" s="93" t="s">
        <v>2178</v>
      </c>
    </row>
    <row r="599" spans="1:8" ht="18" customHeight="1" x14ac:dyDescent="0.15">
      <c r="A599" s="3" t="s">
        <v>1155</v>
      </c>
      <c r="B599" s="2"/>
      <c r="C599" s="2"/>
      <c r="D599" s="2"/>
      <c r="E599" s="2"/>
      <c r="F599" s="2"/>
      <c r="G599" s="2"/>
      <c r="H599" s="2"/>
    </row>
    <row r="600" spans="1:8" ht="18" customHeight="1" x14ac:dyDescent="0.15">
      <c r="A600" s="3" t="s">
        <v>2587</v>
      </c>
      <c r="B600" s="2"/>
      <c r="C600" s="2"/>
      <c r="D600" s="2"/>
      <c r="E600" s="2"/>
      <c r="F600" s="2"/>
      <c r="G600" s="2"/>
      <c r="H600" s="2"/>
    </row>
    <row r="601" spans="1:8" ht="18" customHeight="1" x14ac:dyDescent="0.15">
      <c r="A601" s="3" t="s">
        <v>1156</v>
      </c>
      <c r="B601" s="2"/>
      <c r="C601" s="2"/>
      <c r="D601" s="2"/>
      <c r="E601" s="2"/>
      <c r="F601" s="2"/>
      <c r="G601" s="2"/>
      <c r="H601" s="2"/>
    </row>
    <row r="602" spans="1:8" ht="18" customHeight="1" x14ac:dyDescent="0.15">
      <c r="A602" s="3" t="s">
        <v>2574</v>
      </c>
      <c r="B602" s="2"/>
      <c r="C602" s="2"/>
      <c r="D602" s="2"/>
      <c r="E602" s="2"/>
      <c r="F602" s="2"/>
      <c r="G602" s="2"/>
      <c r="H602" s="2"/>
    </row>
    <row r="603" spans="1:8" ht="24" x14ac:dyDescent="0.15">
      <c r="A603" s="230" t="s">
        <v>2571</v>
      </c>
      <c r="B603" s="230"/>
      <c r="C603" s="230"/>
      <c r="D603" s="230"/>
      <c r="E603" s="230"/>
      <c r="F603" s="230"/>
      <c r="G603" s="230"/>
      <c r="H603" s="230"/>
    </row>
    <row r="604" spans="1:8" ht="18" customHeight="1" x14ac:dyDescent="0.15">
      <c r="A604" s="231"/>
      <c r="B604" s="231"/>
      <c r="C604" s="231"/>
      <c r="D604" s="231"/>
      <c r="E604" s="231"/>
      <c r="F604" s="231"/>
      <c r="G604" s="231"/>
      <c r="H604" s="231"/>
    </row>
    <row r="605" spans="1:8" thickBot="1" x14ac:dyDescent="0.2">
      <c r="A605" s="58" t="s">
        <v>48</v>
      </c>
    </row>
    <row r="606" spans="1:8" ht="18" customHeight="1" x14ac:dyDescent="0.15">
      <c r="A606" s="232" t="s">
        <v>47</v>
      </c>
      <c r="B606" s="235" t="s">
        <v>46</v>
      </c>
      <c r="C606" s="238" t="s">
        <v>45</v>
      </c>
      <c r="D606" s="241" t="s">
        <v>44</v>
      </c>
      <c r="E606" s="172"/>
      <c r="F606" s="56"/>
      <c r="G606" s="56"/>
      <c r="H606" s="55"/>
    </row>
    <row r="607" spans="1:8" ht="18" customHeight="1" x14ac:dyDescent="0.15">
      <c r="A607" s="233"/>
      <c r="B607" s="236"/>
      <c r="C607" s="239"/>
      <c r="D607" s="242"/>
      <c r="E607" s="244" t="s">
        <v>43</v>
      </c>
      <c r="F607" s="246" t="s">
        <v>42</v>
      </c>
      <c r="G607" s="246" t="s">
        <v>41</v>
      </c>
      <c r="H607" s="248" t="s">
        <v>40</v>
      </c>
    </row>
    <row r="608" spans="1:8" ht="18" customHeight="1" thickBot="1" x14ac:dyDescent="0.2">
      <c r="A608" s="234"/>
      <c r="B608" s="237"/>
      <c r="C608" s="240"/>
      <c r="D608" s="243"/>
      <c r="E608" s="245"/>
      <c r="F608" s="247"/>
      <c r="G608" s="247"/>
      <c r="H608" s="249"/>
    </row>
    <row r="609" spans="1:8" s="60" customFormat="1" ht="18" customHeight="1" thickTop="1" x14ac:dyDescent="0.15">
      <c r="A609" s="170"/>
      <c r="B609" s="171"/>
      <c r="C609" s="52"/>
      <c r="D609" s="51" t="s">
        <v>39</v>
      </c>
      <c r="E609" s="50" t="s">
        <v>39</v>
      </c>
      <c r="F609" s="49" t="s">
        <v>39</v>
      </c>
      <c r="G609" s="49" t="s">
        <v>39</v>
      </c>
      <c r="H609" s="48" t="s">
        <v>39</v>
      </c>
    </row>
    <row r="610" spans="1:8" ht="21.75" customHeight="1" x14ac:dyDescent="0.15">
      <c r="A610" s="250" t="s">
        <v>38</v>
      </c>
      <c r="B610" s="61" t="s">
        <v>37</v>
      </c>
      <c r="C610" s="62">
        <v>3965</v>
      </c>
      <c r="D610" s="63">
        <f>QUOTIENT(743466765253134,1000000)</f>
        <v>743466765</v>
      </c>
      <c r="E610" s="63">
        <f>QUOTIENT(270846637618733,1000000)</f>
        <v>270846637</v>
      </c>
      <c r="F610" s="64">
        <f>QUOTIENT(235178749853576,1000000)</f>
        <v>235178749</v>
      </c>
      <c r="G610" s="64">
        <f>QUOTIENT(227577578453583,1000000)</f>
        <v>227577578</v>
      </c>
      <c r="H610" s="65">
        <f>QUOTIENT(9863799327241,1000000)</f>
        <v>9863799</v>
      </c>
    </row>
    <row r="611" spans="1:8" ht="21.75" customHeight="1" x14ac:dyDescent="0.15">
      <c r="A611" s="250"/>
      <c r="B611" s="66" t="s">
        <v>36</v>
      </c>
      <c r="C611" s="67">
        <v>15</v>
      </c>
      <c r="D611" s="68">
        <f>QUOTIENT(15687603000,1000000)</f>
        <v>15687</v>
      </c>
      <c r="E611" s="68">
        <f>QUOTIENT(10989878000,1000000)</f>
        <v>10989</v>
      </c>
      <c r="F611" s="69">
        <f>QUOTIENT(4370340000,1000000)</f>
        <v>4370</v>
      </c>
      <c r="G611" s="69">
        <f>QUOTIENT(326390000,1000000)</f>
        <v>326</v>
      </c>
      <c r="H611" s="115">
        <f>QUOTIENT(995000,1000000)</f>
        <v>0</v>
      </c>
    </row>
    <row r="612" spans="1:8" ht="21.75" customHeight="1" x14ac:dyDescent="0.15">
      <c r="A612" s="250"/>
      <c r="B612" s="66" t="s">
        <v>35</v>
      </c>
      <c r="C612" s="67">
        <v>122</v>
      </c>
      <c r="D612" s="68">
        <f>QUOTIENT(0,1000000)</f>
        <v>0</v>
      </c>
      <c r="E612" s="68">
        <f>QUOTIENT(0,1000000)</f>
        <v>0</v>
      </c>
      <c r="F612" s="69">
        <f>QUOTIENT(0,1000000)</f>
        <v>0</v>
      </c>
      <c r="G612" s="69">
        <f>QUOTIENT(0,1000000)</f>
        <v>0</v>
      </c>
      <c r="H612" s="70">
        <f>QUOTIENT(0,1000000)</f>
        <v>0</v>
      </c>
    </row>
    <row r="613" spans="1:8" ht="21.75" customHeight="1" x14ac:dyDescent="0.15">
      <c r="A613" s="250"/>
      <c r="B613" s="71" t="s">
        <v>34</v>
      </c>
      <c r="C613" s="72">
        <v>1</v>
      </c>
      <c r="D613" s="73">
        <f>QUOTIENT(193557072600,1000000)</f>
        <v>193557</v>
      </c>
      <c r="E613" s="73">
        <f>QUOTIENT(145840259100,1000000)</f>
        <v>145840</v>
      </c>
      <c r="F613" s="74">
        <f>QUOTIENT(9508653600,1000000)</f>
        <v>9508</v>
      </c>
      <c r="G613" s="74">
        <f>QUOTIENT(35351901600,1000000)</f>
        <v>35351</v>
      </c>
      <c r="H613" s="75">
        <f>QUOTIENT(2856258300,1000000)</f>
        <v>2856</v>
      </c>
    </row>
    <row r="614" spans="1:8" ht="21.75" customHeight="1" x14ac:dyDescent="0.15">
      <c r="A614" s="250"/>
      <c r="B614" s="66" t="s">
        <v>33</v>
      </c>
      <c r="C614" s="67">
        <v>67</v>
      </c>
      <c r="D614" s="68">
        <f>QUOTIENT(15450013862300,1000000)</f>
        <v>15450013</v>
      </c>
      <c r="E614" s="68">
        <f>QUOTIENT(3844075080900,1000000)</f>
        <v>3844075</v>
      </c>
      <c r="F614" s="69">
        <f>QUOTIENT(4282623343500,1000000)</f>
        <v>4282623</v>
      </c>
      <c r="G614" s="69">
        <f>QUOTIENT(7160962838600,1000000)</f>
        <v>7160962</v>
      </c>
      <c r="H614" s="70">
        <f>QUOTIENT(162352599300,1000000)</f>
        <v>162352</v>
      </c>
    </row>
    <row r="615" spans="1:8" ht="21.75" customHeight="1" x14ac:dyDescent="0.15">
      <c r="A615" s="250"/>
      <c r="B615" s="76" t="s">
        <v>32</v>
      </c>
      <c r="C615" s="67">
        <v>246</v>
      </c>
      <c r="D615" s="68">
        <f>QUOTIENT(61599578645883,1000000)</f>
        <v>61599578</v>
      </c>
      <c r="E615" s="68">
        <f>QUOTIENT(5066238610153,1000000)</f>
        <v>5066238</v>
      </c>
      <c r="F615" s="69">
        <f>QUOTIENT(1606789651422,1000000)</f>
        <v>1606789</v>
      </c>
      <c r="G615" s="69">
        <f>QUOTIENT(54711343150370,1000000)</f>
        <v>54711343</v>
      </c>
      <c r="H615" s="70">
        <f>QUOTIENT(215207233937,1000000)</f>
        <v>215207</v>
      </c>
    </row>
    <row r="616" spans="1:8" ht="21.75" customHeight="1" x14ac:dyDescent="0.15">
      <c r="A616" s="251"/>
      <c r="B616" s="77" t="s">
        <v>31</v>
      </c>
      <c r="C616" s="72">
        <v>44</v>
      </c>
      <c r="D616" s="73">
        <f>QUOTIENT(437807628398,1000000)</f>
        <v>437807</v>
      </c>
      <c r="E616" s="73">
        <f>QUOTIENT(301121367521,1000000)</f>
        <v>301121</v>
      </c>
      <c r="F616" s="74">
        <f>QUOTIENT(7605338098,1000000)</f>
        <v>7605</v>
      </c>
      <c r="G616" s="74">
        <f>QUOTIENT(115578225980,1000000)</f>
        <v>115578</v>
      </c>
      <c r="H616" s="75">
        <f>QUOTIENT(13502696799,1000000)</f>
        <v>13502</v>
      </c>
    </row>
    <row r="617" spans="1:8" ht="21.75" customHeight="1" x14ac:dyDescent="0.15">
      <c r="A617" s="30" t="s">
        <v>30</v>
      </c>
      <c r="B617" s="78" t="s">
        <v>29</v>
      </c>
      <c r="C617" s="79">
        <v>27</v>
      </c>
      <c r="D617" s="80">
        <f>QUOTIENT(132407668590,1000000)</f>
        <v>132407</v>
      </c>
      <c r="E617" s="80">
        <f>QUOTIENT(119386051517,1000000)</f>
        <v>119386</v>
      </c>
      <c r="F617" s="81">
        <f>QUOTIENT(970693583,1000000)</f>
        <v>970</v>
      </c>
      <c r="G617" s="81">
        <f>QUOTIENT(34304380,1000000)</f>
        <v>34</v>
      </c>
      <c r="H617" s="82">
        <f>QUOTIENT(12016619110,1000000)</f>
        <v>12016</v>
      </c>
    </row>
    <row r="618" spans="1:8" ht="21.75" customHeight="1" x14ac:dyDescent="0.15">
      <c r="A618" s="252" t="s">
        <v>28</v>
      </c>
      <c r="B618" s="17" t="s">
        <v>27</v>
      </c>
      <c r="C618" s="16">
        <v>3466</v>
      </c>
      <c r="D618" s="83">
        <f>QUOTIENT(65115078570000,1000000)</f>
        <v>65115078</v>
      </c>
      <c r="E618" s="83">
        <f>QUOTIENT(10433369640000,1000000)</f>
        <v>10433369</v>
      </c>
      <c r="F618" s="84">
        <f>QUOTIENT(29414045350000,1000000)</f>
        <v>29414045</v>
      </c>
      <c r="G618" s="84">
        <f>QUOTIENT(25137329550000,1000000)</f>
        <v>25137329</v>
      </c>
      <c r="H618" s="85">
        <f>QUOTIENT(130334030000,1000000)</f>
        <v>130334</v>
      </c>
    </row>
    <row r="619" spans="1:8" ht="21.75" customHeight="1" x14ac:dyDescent="0.15">
      <c r="A619" s="250"/>
      <c r="B619" s="23" t="s">
        <v>26</v>
      </c>
      <c r="C619" s="22">
        <v>3542</v>
      </c>
      <c r="D619" s="86">
        <f>QUOTIENT(15264721474000,1000000)</f>
        <v>15264721</v>
      </c>
      <c r="E619" s="86">
        <f>QUOTIENT(507457536000,1000000)</f>
        <v>507457</v>
      </c>
      <c r="F619" s="87">
        <f>QUOTIENT(9966860948000,1000000)</f>
        <v>9966860</v>
      </c>
      <c r="G619" s="87">
        <f>QUOTIENT(4779465990000,1000000)</f>
        <v>4779465</v>
      </c>
      <c r="H619" s="88">
        <f>QUOTIENT(10937000000,1000000)</f>
        <v>10937</v>
      </c>
    </row>
    <row r="620" spans="1:8" ht="21.75" customHeight="1" x14ac:dyDescent="0.15">
      <c r="A620" s="250"/>
      <c r="B620" s="24" t="s">
        <v>25</v>
      </c>
      <c r="C620" s="22">
        <v>547</v>
      </c>
      <c r="D620" s="86">
        <f>QUOTIENT(20223900000000,1000000)</f>
        <v>20223900</v>
      </c>
      <c r="E620" s="86">
        <f>QUOTIENT(1565201000000,1000000)</f>
        <v>1565201</v>
      </c>
      <c r="F620" s="87">
        <f>QUOTIENT(8356383300000,1000000)</f>
        <v>8356383</v>
      </c>
      <c r="G620" s="87">
        <f>QUOTIENT(10253525700000,1000000)</f>
        <v>10253525</v>
      </c>
      <c r="H620" s="88">
        <f>QUOTIENT(48790000000,1000000)</f>
        <v>48790</v>
      </c>
    </row>
    <row r="621" spans="1:8" ht="21.75" customHeight="1" x14ac:dyDescent="0.15">
      <c r="A621" s="250"/>
      <c r="B621" s="23" t="s">
        <v>24</v>
      </c>
      <c r="C621" s="22">
        <v>2119</v>
      </c>
      <c r="D621" s="86">
        <f>QUOTIENT(56775300000000,1000000)</f>
        <v>56775300</v>
      </c>
      <c r="E621" s="86">
        <f>QUOTIENT(7730199900000,1000000)</f>
        <v>7730199</v>
      </c>
      <c r="F621" s="87">
        <f>QUOTIENT(19499590100000,1000000)</f>
        <v>19499590</v>
      </c>
      <c r="G621" s="87">
        <f>QUOTIENT(29538160000000,1000000)</f>
        <v>29538160</v>
      </c>
      <c r="H621" s="88">
        <f>QUOTIENT(7350000000,1000000)</f>
        <v>7350</v>
      </c>
    </row>
    <row r="622" spans="1:8" ht="21.75" customHeight="1" x14ac:dyDescent="0.15">
      <c r="A622" s="250"/>
      <c r="B622" s="23" t="s">
        <v>23</v>
      </c>
      <c r="C622" s="22">
        <v>508</v>
      </c>
      <c r="D622" s="86">
        <f>QUOTIENT(5158649000000,1000000)</f>
        <v>5158649</v>
      </c>
      <c r="E622" s="86">
        <f>QUOTIENT(304577800000,1000000)</f>
        <v>304577</v>
      </c>
      <c r="F622" s="87">
        <f>QUOTIENT(87943400000,1000000)</f>
        <v>87943</v>
      </c>
      <c r="G622" s="87">
        <f>QUOTIENT(4766127800000,1000000)</f>
        <v>4766127</v>
      </c>
      <c r="H622" s="88">
        <f>QUOTIENT(0,1000000)</f>
        <v>0</v>
      </c>
    </row>
    <row r="623" spans="1:8" ht="21.75" customHeight="1" x14ac:dyDescent="0.15">
      <c r="A623" s="250"/>
      <c r="B623" s="23" t="s">
        <v>22</v>
      </c>
      <c r="C623" s="22">
        <v>168</v>
      </c>
      <c r="D623" s="86">
        <f>QUOTIENT(1319900000000,1000000)</f>
        <v>1319900</v>
      </c>
      <c r="E623" s="86">
        <f>QUOTIENT(330120000000,1000000)</f>
        <v>330120</v>
      </c>
      <c r="F623" s="87">
        <f>QUOTIENT(471100000000,1000000)</f>
        <v>471100</v>
      </c>
      <c r="G623" s="87">
        <f>QUOTIENT(518680000000,1000000)</f>
        <v>518680</v>
      </c>
      <c r="H623" s="88">
        <f>QUOTIENT(0,1000000)</f>
        <v>0</v>
      </c>
    </row>
    <row r="624" spans="1:8" ht="21.75" customHeight="1" x14ac:dyDescent="0.15">
      <c r="A624" s="250"/>
      <c r="B624" s="23" t="s">
        <v>21</v>
      </c>
      <c r="C624" s="22">
        <v>21</v>
      </c>
      <c r="D624" s="86">
        <f>QUOTIENT(133500000000,1000000)</f>
        <v>133500</v>
      </c>
      <c r="E624" s="86">
        <f>QUOTIENT(110493000000,1000000)</f>
        <v>110493</v>
      </c>
      <c r="F624" s="87">
        <f>QUOTIENT(13145000000,1000000)</f>
        <v>13145</v>
      </c>
      <c r="G624" s="87">
        <f>QUOTIENT(9862000000,1000000)</f>
        <v>9862</v>
      </c>
      <c r="H624" s="88">
        <f>QUOTIENT(0,1000000)</f>
        <v>0</v>
      </c>
    </row>
    <row r="625" spans="1:8" ht="21.75" customHeight="1" x14ac:dyDescent="0.15">
      <c r="A625" s="250"/>
      <c r="B625" s="23" t="s">
        <v>20</v>
      </c>
      <c r="C625" s="22">
        <v>0</v>
      </c>
      <c r="D625" s="86">
        <f>QUOTIENT(0,1000000)</f>
        <v>0</v>
      </c>
      <c r="E625" s="86">
        <f>QUOTIENT(0,1000000)</f>
        <v>0</v>
      </c>
      <c r="F625" s="87">
        <f>QUOTIENT(0,1000000)</f>
        <v>0</v>
      </c>
      <c r="G625" s="87">
        <f>QUOTIENT(0,1000000)</f>
        <v>0</v>
      </c>
      <c r="H625" s="88">
        <f>QUOTIENT(0,1000000)</f>
        <v>0</v>
      </c>
    </row>
    <row r="626" spans="1:8" ht="21.75" customHeight="1" x14ac:dyDescent="0.15">
      <c r="A626" s="250"/>
      <c r="B626" s="23" t="s">
        <v>19</v>
      </c>
      <c r="C626" s="22">
        <v>207</v>
      </c>
      <c r="D626" s="86">
        <f>QUOTIENT(5034210000000,1000000)</f>
        <v>5034210</v>
      </c>
      <c r="E626" s="86">
        <f>QUOTIENT(600490000000,1000000)</f>
        <v>600490</v>
      </c>
      <c r="F626" s="87">
        <f>QUOTIENT(2551770000000,1000000)</f>
        <v>2551770</v>
      </c>
      <c r="G626" s="87">
        <f>QUOTIENT(1837650000000,1000000)</f>
        <v>1837650</v>
      </c>
      <c r="H626" s="88">
        <f>QUOTIENT(44300000000,1000000)</f>
        <v>44300</v>
      </c>
    </row>
    <row r="627" spans="1:8" ht="21.75" customHeight="1" x14ac:dyDescent="0.15">
      <c r="A627" s="250"/>
      <c r="B627" s="23" t="s">
        <v>18</v>
      </c>
      <c r="C627" s="22">
        <v>4135</v>
      </c>
      <c r="D627" s="86">
        <f>QUOTIENT(85098589000000,1000000)</f>
        <v>85098589</v>
      </c>
      <c r="E627" s="86">
        <f>QUOTIENT(20487217300000,1000000)</f>
        <v>20487217</v>
      </c>
      <c r="F627" s="87">
        <f>QUOTIENT(30010976400000,1000000)</f>
        <v>30010976</v>
      </c>
      <c r="G627" s="87">
        <f>QUOTIENT(33957122600000,1000000)</f>
        <v>33957122</v>
      </c>
      <c r="H627" s="88">
        <f>QUOTIENT(643272700000,1000000)</f>
        <v>643272</v>
      </c>
    </row>
    <row r="628" spans="1:8" ht="21.75" customHeight="1" x14ac:dyDescent="0.15">
      <c r="A628" s="250"/>
      <c r="B628" s="23" t="s">
        <v>17</v>
      </c>
      <c r="C628" s="22">
        <v>789</v>
      </c>
      <c r="D628" s="86">
        <f>QUOTIENT(17979960000000,1000000)</f>
        <v>17979960</v>
      </c>
      <c r="E628" s="86">
        <f>QUOTIENT(4420417000000,1000000)</f>
        <v>4420417</v>
      </c>
      <c r="F628" s="87">
        <f>QUOTIENT(6203586800000,1000000)</f>
        <v>6203586</v>
      </c>
      <c r="G628" s="87">
        <f>QUOTIENT(7282103200000,1000000)</f>
        <v>7282103</v>
      </c>
      <c r="H628" s="88">
        <f>QUOTIENT(73853000000,1000000)</f>
        <v>73853</v>
      </c>
    </row>
    <row r="629" spans="1:8" ht="21.75" customHeight="1" x14ac:dyDescent="0.15">
      <c r="A629" s="250"/>
      <c r="B629" s="23" t="s">
        <v>16</v>
      </c>
      <c r="C629" s="22">
        <v>64036</v>
      </c>
      <c r="D629" s="86">
        <f>QUOTIENT(15450536167000,1000000)</f>
        <v>15450536</v>
      </c>
      <c r="E629" s="86">
        <f>QUOTIENT(4251769123000,1000000)</f>
        <v>4251769</v>
      </c>
      <c r="F629" s="87">
        <f>QUOTIENT(4822306814000,1000000)</f>
        <v>4822306</v>
      </c>
      <c r="G629" s="87">
        <f>QUOTIENT(6349480230000,1000000)</f>
        <v>6349480</v>
      </c>
      <c r="H629" s="88">
        <f>QUOTIENT(26980000000,1000000)</f>
        <v>26980</v>
      </c>
    </row>
    <row r="630" spans="1:8" ht="21.75" customHeight="1" x14ac:dyDescent="0.15">
      <c r="A630" s="250"/>
      <c r="B630" s="23" t="s">
        <v>15</v>
      </c>
      <c r="C630" s="22">
        <v>459</v>
      </c>
      <c r="D630" s="86">
        <f>QUOTIENT(3763671797000,1000000)</f>
        <v>3763671</v>
      </c>
      <c r="E630" s="86">
        <f>QUOTIENT(3224169523000,1000000)</f>
        <v>3224169</v>
      </c>
      <c r="F630" s="87">
        <f>QUOTIENT(457280784000,1000000)</f>
        <v>457280</v>
      </c>
      <c r="G630" s="87">
        <f>QUOTIENT(81976490000,1000000)</f>
        <v>81976</v>
      </c>
      <c r="H630" s="88">
        <f>QUOTIENT(245000000,1000000)</f>
        <v>245</v>
      </c>
    </row>
    <row r="631" spans="1:8" ht="21.75" customHeight="1" x14ac:dyDescent="0.15">
      <c r="A631" s="250"/>
      <c r="B631" s="23" t="s">
        <v>14</v>
      </c>
      <c r="C631" s="22">
        <v>31</v>
      </c>
      <c r="D631" s="86">
        <f>QUOTIENT(89700000000,1000000)</f>
        <v>89700</v>
      </c>
      <c r="E631" s="86">
        <f>QUOTIENT(16800000000,1000000)</f>
        <v>16800</v>
      </c>
      <c r="F631" s="87">
        <f>QUOTIENT(51800000000,1000000)</f>
        <v>51800</v>
      </c>
      <c r="G631" s="87">
        <f>QUOTIENT(21100000000,1000000)</f>
        <v>21100</v>
      </c>
      <c r="H631" s="88">
        <f>QUOTIENT(0,1000000)</f>
        <v>0</v>
      </c>
    </row>
    <row r="632" spans="1:8" ht="21.75" customHeight="1" x14ac:dyDescent="0.15">
      <c r="A632" s="250"/>
      <c r="B632" s="23" t="s">
        <v>13</v>
      </c>
      <c r="C632" s="22">
        <v>832</v>
      </c>
      <c r="D632" s="86">
        <f>QUOTIENT(3125241298000,1000000)</f>
        <v>3125241</v>
      </c>
      <c r="E632" s="86">
        <f>QUOTIENT(184071780000,1000000)</f>
        <v>184071</v>
      </c>
      <c r="F632" s="87">
        <f>QUOTIENT(1654882968000,1000000)</f>
        <v>1654882</v>
      </c>
      <c r="G632" s="87">
        <f>QUOTIENT(1286286550000,1000000)</f>
        <v>1286286</v>
      </c>
      <c r="H632" s="88">
        <f>QUOTIENT(0,1000000)</f>
        <v>0</v>
      </c>
    </row>
    <row r="633" spans="1:8" ht="21.75" customHeight="1" x14ac:dyDescent="0.15">
      <c r="A633" s="250"/>
      <c r="B633" s="23" t="s">
        <v>12</v>
      </c>
      <c r="C633" s="22">
        <v>281</v>
      </c>
      <c r="D633" s="86">
        <f>QUOTIENT(7249800000000,1000000)</f>
        <v>7249800</v>
      </c>
      <c r="E633" s="86">
        <f>QUOTIENT(1264018000000,1000000)</f>
        <v>1264018</v>
      </c>
      <c r="F633" s="87">
        <f>QUOTIENT(2227720000000,1000000)</f>
        <v>2227720</v>
      </c>
      <c r="G633" s="87">
        <f>QUOTIENT(3732662000000,1000000)</f>
        <v>3732662</v>
      </c>
      <c r="H633" s="88">
        <f>QUOTIENT(25400000000,1000000)</f>
        <v>25400</v>
      </c>
    </row>
    <row r="634" spans="1:8" ht="21.75" customHeight="1" x14ac:dyDescent="0.15">
      <c r="A634" s="250"/>
      <c r="B634" s="23" t="s">
        <v>11</v>
      </c>
      <c r="C634" s="22">
        <v>69</v>
      </c>
      <c r="D634" s="86">
        <f>QUOTIENT(1187350000000,1000000)</f>
        <v>1187350</v>
      </c>
      <c r="E634" s="86">
        <f>QUOTIENT(125800000000,1000000)</f>
        <v>125800</v>
      </c>
      <c r="F634" s="87">
        <f>QUOTIENT(523350000000,1000000)</f>
        <v>523350</v>
      </c>
      <c r="G634" s="87">
        <f>QUOTIENT(538200000000,1000000)</f>
        <v>538200</v>
      </c>
      <c r="H634" s="88">
        <f>QUOTIENT(0,1000000)</f>
        <v>0</v>
      </c>
    </row>
    <row r="635" spans="1:8" ht="21.75" customHeight="1" x14ac:dyDescent="0.15">
      <c r="A635" s="250"/>
      <c r="B635" s="23" t="s">
        <v>10</v>
      </c>
      <c r="C635" s="22">
        <v>0</v>
      </c>
      <c r="D635" s="86">
        <f t="shared" ref="D635:G637" si="19">QUOTIENT(0,1000000)</f>
        <v>0</v>
      </c>
      <c r="E635" s="86">
        <f t="shared" si="19"/>
        <v>0</v>
      </c>
      <c r="F635" s="87">
        <f t="shared" si="19"/>
        <v>0</v>
      </c>
      <c r="G635" s="87">
        <f t="shared" si="19"/>
        <v>0</v>
      </c>
      <c r="H635" s="88">
        <f>QUOTIENT(0,1000000)</f>
        <v>0</v>
      </c>
    </row>
    <row r="636" spans="1:8" ht="21.75" customHeight="1" x14ac:dyDescent="0.15">
      <c r="A636" s="250"/>
      <c r="B636" s="23" t="s">
        <v>9</v>
      </c>
      <c r="C636" s="22">
        <v>0</v>
      </c>
      <c r="D636" s="86">
        <f t="shared" si="19"/>
        <v>0</v>
      </c>
      <c r="E636" s="86">
        <f t="shared" si="19"/>
        <v>0</v>
      </c>
      <c r="F636" s="87">
        <f t="shared" si="19"/>
        <v>0</v>
      </c>
      <c r="G636" s="87">
        <f t="shared" si="19"/>
        <v>0</v>
      </c>
      <c r="H636" s="88">
        <f>QUOTIENT(0,1000000)</f>
        <v>0</v>
      </c>
    </row>
    <row r="637" spans="1:8" ht="21.75" customHeight="1" x14ac:dyDescent="0.15">
      <c r="A637" s="250"/>
      <c r="B637" s="23" t="s">
        <v>8</v>
      </c>
      <c r="C637" s="22">
        <v>0</v>
      </c>
      <c r="D637" s="86">
        <f t="shared" si="19"/>
        <v>0</v>
      </c>
      <c r="E637" s="86">
        <f t="shared" si="19"/>
        <v>0</v>
      </c>
      <c r="F637" s="87">
        <f t="shared" si="19"/>
        <v>0</v>
      </c>
      <c r="G637" s="87">
        <f t="shared" si="19"/>
        <v>0</v>
      </c>
      <c r="H637" s="88">
        <f>QUOTIENT(0,1000000)</f>
        <v>0</v>
      </c>
    </row>
    <row r="638" spans="1:8" ht="21.75" customHeight="1" x14ac:dyDescent="0.15">
      <c r="A638" s="251"/>
      <c r="B638" s="23" t="s">
        <v>7</v>
      </c>
      <c r="C638" s="22">
        <v>70</v>
      </c>
      <c r="D638" s="86">
        <f>QUOTIENT(5870000000,1000000)</f>
        <v>5870</v>
      </c>
      <c r="E638" s="86">
        <f>QUOTIENT(0,1000000)</f>
        <v>0</v>
      </c>
      <c r="F638" s="87">
        <f>QUOTIENT(0,1000000)</f>
        <v>0</v>
      </c>
      <c r="G638" s="87">
        <f>QUOTIENT(5870000000,1000000)</f>
        <v>5870</v>
      </c>
      <c r="H638" s="88">
        <f>QUOTIENT(0,1000000)</f>
        <v>0</v>
      </c>
    </row>
    <row r="639" spans="1:8" ht="21.75" customHeight="1" x14ac:dyDescent="0.15">
      <c r="A639" s="18" t="s">
        <v>6</v>
      </c>
      <c r="B639" s="17" t="s">
        <v>5</v>
      </c>
      <c r="C639" s="16">
        <v>3427</v>
      </c>
      <c r="D639" s="80">
        <v>27806308</v>
      </c>
      <c r="E639" s="80">
        <v>883800</v>
      </c>
      <c r="F639" s="81">
        <v>12691174</v>
      </c>
      <c r="G639" s="81">
        <v>11401571</v>
      </c>
      <c r="H639" s="82">
        <v>2829763</v>
      </c>
    </row>
    <row r="640" spans="1:8" ht="21.75" customHeight="1" x14ac:dyDescent="0.15">
      <c r="A640" s="252" t="s">
        <v>4</v>
      </c>
      <c r="B640" s="12" t="s">
        <v>3</v>
      </c>
      <c r="C640" s="11">
        <v>5642</v>
      </c>
      <c r="D640" s="89">
        <f>QUOTIENT(101666000095258,1000000)</f>
        <v>101666000</v>
      </c>
      <c r="E640" s="89">
        <f>QUOTIENT(63626029070626,1000000)</f>
        <v>63626029</v>
      </c>
      <c r="F640" s="90">
        <f>QUOTIENT(17589948831600,1000000)</f>
        <v>17589948</v>
      </c>
      <c r="G640" s="90">
        <f>QUOTIENT(12538719960476,1000000)</f>
        <v>12538719</v>
      </c>
      <c r="H640" s="91">
        <f>QUOTIENT(7911302232556,1000000)</f>
        <v>7911302</v>
      </c>
    </row>
    <row r="641" spans="1:8" ht="21.75" customHeight="1" thickBot="1" x14ac:dyDescent="0.2">
      <c r="A641" s="253"/>
      <c r="B641" s="7" t="s">
        <v>1153</v>
      </c>
      <c r="C641" s="6">
        <v>8394</v>
      </c>
      <c r="D641" s="92" t="s">
        <v>2178</v>
      </c>
      <c r="E641" s="92" t="s">
        <v>2178</v>
      </c>
      <c r="F641" s="92" t="s">
        <v>2178</v>
      </c>
      <c r="G641" s="92" t="s">
        <v>2178</v>
      </c>
      <c r="H641" s="93" t="s">
        <v>2178</v>
      </c>
    </row>
    <row r="642" spans="1:8" ht="18" customHeight="1" x14ac:dyDescent="0.15">
      <c r="A642" s="3" t="s">
        <v>1155</v>
      </c>
      <c r="B642" s="2"/>
      <c r="C642" s="2"/>
      <c r="D642" s="2"/>
      <c r="E642" s="2"/>
      <c r="F642" s="2"/>
      <c r="G642" s="2"/>
      <c r="H642" s="2"/>
    </row>
    <row r="643" spans="1:8" ht="18" customHeight="1" x14ac:dyDescent="0.15">
      <c r="A643" s="3" t="s">
        <v>2587</v>
      </c>
      <c r="B643" s="2"/>
      <c r="C643" s="2"/>
      <c r="D643" s="2"/>
      <c r="E643" s="2"/>
      <c r="F643" s="2"/>
      <c r="G643" s="2"/>
      <c r="H643" s="2"/>
    </row>
    <row r="644" spans="1:8" ht="18" customHeight="1" x14ac:dyDescent="0.15">
      <c r="A644" s="3" t="s">
        <v>1156</v>
      </c>
      <c r="B644" s="2"/>
      <c r="C644" s="2"/>
      <c r="D644" s="2"/>
      <c r="E644" s="2"/>
      <c r="F644" s="2"/>
      <c r="G644" s="2"/>
      <c r="H644" s="2"/>
    </row>
    <row r="645" spans="1:8" ht="18" customHeight="1" x14ac:dyDescent="0.15">
      <c r="A645" s="3" t="s">
        <v>2572</v>
      </c>
      <c r="B645" s="2"/>
      <c r="C645" s="2"/>
      <c r="D645" s="2"/>
      <c r="E645" s="2"/>
      <c r="F645" s="2"/>
      <c r="G645" s="2"/>
      <c r="H645" s="2"/>
    </row>
    <row r="646" spans="1:8" ht="24" x14ac:dyDescent="0.15">
      <c r="A646" s="230" t="s">
        <v>2520</v>
      </c>
      <c r="B646" s="230"/>
      <c r="C646" s="230"/>
      <c r="D646" s="230"/>
      <c r="E646" s="230"/>
      <c r="F646" s="230"/>
      <c r="G646" s="230"/>
      <c r="H646" s="230"/>
    </row>
    <row r="647" spans="1:8" ht="18" customHeight="1" x14ac:dyDescent="0.15">
      <c r="A647" s="231"/>
      <c r="B647" s="231"/>
      <c r="C647" s="231"/>
      <c r="D647" s="231"/>
      <c r="E647" s="231"/>
      <c r="F647" s="231"/>
      <c r="G647" s="231"/>
      <c r="H647" s="231"/>
    </row>
    <row r="648" spans="1:8" thickBot="1" x14ac:dyDescent="0.2">
      <c r="A648" s="58" t="s">
        <v>2521</v>
      </c>
      <c r="B648"/>
      <c r="C648"/>
      <c r="D648"/>
      <c r="E648"/>
      <c r="F648"/>
      <c r="G648"/>
      <c r="H648"/>
    </row>
    <row r="649" spans="1:8" ht="18" customHeight="1" x14ac:dyDescent="0.15">
      <c r="A649" s="232" t="s">
        <v>2522</v>
      </c>
      <c r="B649" s="235" t="s">
        <v>2523</v>
      </c>
      <c r="C649" s="238" t="s">
        <v>2524</v>
      </c>
      <c r="D649" s="241" t="s">
        <v>2525</v>
      </c>
      <c r="E649" s="167"/>
      <c r="F649" s="56"/>
      <c r="G649" s="56"/>
      <c r="H649" s="55"/>
    </row>
    <row r="650" spans="1:8" ht="18" customHeight="1" x14ac:dyDescent="0.15">
      <c r="A650" s="233"/>
      <c r="B650" s="236"/>
      <c r="C650" s="239"/>
      <c r="D650" s="242"/>
      <c r="E650" s="244" t="s">
        <v>2526</v>
      </c>
      <c r="F650" s="246" t="s">
        <v>2527</v>
      </c>
      <c r="G650" s="246" t="s">
        <v>2528</v>
      </c>
      <c r="H650" s="248" t="s">
        <v>2529</v>
      </c>
    </row>
    <row r="651" spans="1:8" ht="18" customHeight="1" thickBot="1" x14ac:dyDescent="0.2">
      <c r="A651" s="234"/>
      <c r="B651" s="237"/>
      <c r="C651" s="240"/>
      <c r="D651" s="243"/>
      <c r="E651" s="245"/>
      <c r="F651" s="247"/>
      <c r="G651" s="247"/>
      <c r="H651" s="249"/>
    </row>
    <row r="652" spans="1:8" s="60" customFormat="1" ht="18" customHeight="1" thickTop="1" x14ac:dyDescent="0.15">
      <c r="A652" s="168"/>
      <c r="B652" s="169"/>
      <c r="C652" s="52"/>
      <c r="D652" s="51" t="s">
        <v>2530</v>
      </c>
      <c r="E652" s="50" t="s">
        <v>2530</v>
      </c>
      <c r="F652" s="49" t="s">
        <v>2530</v>
      </c>
      <c r="G652" s="49" t="s">
        <v>2530</v>
      </c>
      <c r="H652" s="48" t="s">
        <v>2530</v>
      </c>
    </row>
    <row r="653" spans="1:8" ht="21.75" customHeight="1" x14ac:dyDescent="0.15">
      <c r="A653" s="250" t="s">
        <v>2531</v>
      </c>
      <c r="B653" s="61" t="s">
        <v>2532</v>
      </c>
      <c r="C653" s="62">
        <v>3965</v>
      </c>
      <c r="D653" s="63">
        <v>714252484</v>
      </c>
      <c r="E653" s="63">
        <v>262138892</v>
      </c>
      <c r="F653" s="64">
        <v>222545674</v>
      </c>
      <c r="G653" s="64">
        <v>219428610</v>
      </c>
      <c r="H653" s="65">
        <v>10139306</v>
      </c>
    </row>
    <row r="654" spans="1:8" ht="21.75" customHeight="1" x14ac:dyDescent="0.15">
      <c r="A654" s="250"/>
      <c r="B654" s="66" t="s">
        <v>2533</v>
      </c>
      <c r="C654" s="67">
        <v>14</v>
      </c>
      <c r="D654" s="68">
        <v>15702</v>
      </c>
      <c r="E654" s="68">
        <v>11000</v>
      </c>
      <c r="F654" s="69">
        <v>4373</v>
      </c>
      <c r="G654" s="69">
        <v>326</v>
      </c>
      <c r="H654" s="115">
        <v>0</v>
      </c>
    </row>
    <row r="655" spans="1:8" ht="21.75" customHeight="1" x14ac:dyDescent="0.15">
      <c r="A655" s="250"/>
      <c r="B655" s="66" t="s">
        <v>2534</v>
      </c>
      <c r="C655" s="67">
        <v>117</v>
      </c>
      <c r="D655" s="68">
        <v>0</v>
      </c>
      <c r="E655" s="68">
        <v>0</v>
      </c>
      <c r="F655" s="69">
        <v>0</v>
      </c>
      <c r="G655" s="69">
        <v>0</v>
      </c>
      <c r="H655" s="70">
        <v>0</v>
      </c>
    </row>
    <row r="656" spans="1:8" ht="21.75" customHeight="1" x14ac:dyDescent="0.15">
      <c r="A656" s="250"/>
      <c r="B656" s="71" t="s">
        <v>2535</v>
      </c>
      <c r="C656" s="72">
        <v>1</v>
      </c>
      <c r="D656" s="73">
        <v>195681</v>
      </c>
      <c r="E656" s="73">
        <v>147436</v>
      </c>
      <c r="F656" s="74">
        <v>9620</v>
      </c>
      <c r="G656" s="74">
        <v>35739</v>
      </c>
      <c r="H656" s="75">
        <v>2884</v>
      </c>
    </row>
    <row r="657" spans="1:8" ht="21.75" customHeight="1" x14ac:dyDescent="0.15">
      <c r="A657" s="250"/>
      <c r="B657" s="66" t="s">
        <v>2536</v>
      </c>
      <c r="C657" s="67">
        <v>67</v>
      </c>
      <c r="D657" s="68">
        <v>16012662</v>
      </c>
      <c r="E657" s="68">
        <v>3890835</v>
      </c>
      <c r="F657" s="69">
        <v>4594770</v>
      </c>
      <c r="G657" s="69">
        <v>7390543</v>
      </c>
      <c r="H657" s="70">
        <v>136513</v>
      </c>
    </row>
    <row r="658" spans="1:8" ht="21.75" customHeight="1" x14ac:dyDescent="0.15">
      <c r="A658" s="250"/>
      <c r="B658" s="76" t="s">
        <v>2537</v>
      </c>
      <c r="C658" s="67">
        <v>243</v>
      </c>
      <c r="D658" s="68">
        <v>59201211</v>
      </c>
      <c r="E658" s="68">
        <v>4952423</v>
      </c>
      <c r="F658" s="69">
        <v>1495721</v>
      </c>
      <c r="G658" s="69">
        <v>52527321</v>
      </c>
      <c r="H658" s="70">
        <v>225745</v>
      </c>
    </row>
    <row r="659" spans="1:8" ht="21.75" customHeight="1" x14ac:dyDescent="0.15">
      <c r="A659" s="251"/>
      <c r="B659" s="77" t="s">
        <v>2538</v>
      </c>
      <c r="C659" s="72">
        <v>44</v>
      </c>
      <c r="D659" s="73">
        <v>441510</v>
      </c>
      <c r="E659" s="73">
        <v>310729</v>
      </c>
      <c r="F659" s="74">
        <v>6763</v>
      </c>
      <c r="G659" s="74">
        <v>110848</v>
      </c>
      <c r="H659" s="75">
        <v>13168</v>
      </c>
    </row>
    <row r="660" spans="1:8" ht="21.75" customHeight="1" x14ac:dyDescent="0.15">
      <c r="A660" s="30" t="s">
        <v>2539</v>
      </c>
      <c r="B660" s="78" t="s">
        <v>2540</v>
      </c>
      <c r="C660" s="79">
        <v>27</v>
      </c>
      <c r="D660" s="80">
        <v>132297</v>
      </c>
      <c r="E660" s="80">
        <v>119392</v>
      </c>
      <c r="F660" s="81">
        <v>925</v>
      </c>
      <c r="G660" s="81">
        <v>133</v>
      </c>
      <c r="H660" s="82">
        <v>11845</v>
      </c>
    </row>
    <row r="661" spans="1:8" ht="21.75" customHeight="1" x14ac:dyDescent="0.15">
      <c r="A661" s="252" t="s">
        <v>2541</v>
      </c>
      <c r="B661" s="17" t="s">
        <v>2542</v>
      </c>
      <c r="C661" s="16">
        <v>3468</v>
      </c>
      <c r="D661" s="83">
        <v>65195078</v>
      </c>
      <c r="E661" s="83">
        <v>10397862</v>
      </c>
      <c r="F661" s="84">
        <v>29387620</v>
      </c>
      <c r="G661" s="84">
        <v>25291301</v>
      </c>
      <c r="H661" s="85">
        <v>118294</v>
      </c>
    </row>
    <row r="662" spans="1:8" ht="21.75" customHeight="1" x14ac:dyDescent="0.15">
      <c r="A662" s="250"/>
      <c r="B662" s="23" t="s">
        <v>2543</v>
      </c>
      <c r="C662" s="22">
        <v>3548</v>
      </c>
      <c r="D662" s="86">
        <v>15292087</v>
      </c>
      <c r="E662" s="86">
        <v>495736</v>
      </c>
      <c r="F662" s="87">
        <v>9871607</v>
      </c>
      <c r="G662" s="87">
        <v>4913806</v>
      </c>
      <c r="H662" s="88">
        <v>10937</v>
      </c>
    </row>
    <row r="663" spans="1:8" ht="21.75" customHeight="1" x14ac:dyDescent="0.15">
      <c r="A663" s="250"/>
      <c r="B663" s="24" t="s">
        <v>2544</v>
      </c>
      <c r="C663" s="22">
        <v>550</v>
      </c>
      <c r="D663" s="86">
        <v>20463900</v>
      </c>
      <c r="E663" s="86">
        <v>1569486</v>
      </c>
      <c r="F663" s="87">
        <v>8631934</v>
      </c>
      <c r="G663" s="87">
        <v>10214277</v>
      </c>
      <c r="H663" s="88">
        <v>48201</v>
      </c>
    </row>
    <row r="664" spans="1:8" ht="21.75" customHeight="1" x14ac:dyDescent="0.15">
      <c r="A664" s="250"/>
      <c r="B664" s="23" t="s">
        <v>2545</v>
      </c>
      <c r="C664" s="22">
        <v>2113</v>
      </c>
      <c r="D664" s="86">
        <v>56679000</v>
      </c>
      <c r="E664" s="86">
        <v>7681739</v>
      </c>
      <c r="F664" s="87">
        <v>19485790</v>
      </c>
      <c r="G664" s="87">
        <v>29504120</v>
      </c>
      <c r="H664" s="88">
        <v>7350</v>
      </c>
    </row>
    <row r="665" spans="1:8" ht="21.75" customHeight="1" x14ac:dyDescent="0.15">
      <c r="A665" s="250"/>
      <c r="B665" s="23" t="s">
        <v>2546</v>
      </c>
      <c r="C665" s="22">
        <v>505</v>
      </c>
      <c r="D665" s="86">
        <v>5125649</v>
      </c>
      <c r="E665" s="86">
        <v>304577</v>
      </c>
      <c r="F665" s="87">
        <v>87943</v>
      </c>
      <c r="G665" s="87">
        <v>4733127</v>
      </c>
      <c r="H665" s="88">
        <v>0</v>
      </c>
    </row>
    <row r="666" spans="1:8" ht="21.75" customHeight="1" x14ac:dyDescent="0.15">
      <c r="A666" s="250"/>
      <c r="B666" s="23" t="s">
        <v>2547</v>
      </c>
      <c r="C666" s="22">
        <v>168</v>
      </c>
      <c r="D666" s="86">
        <v>1319900</v>
      </c>
      <c r="E666" s="86">
        <v>338120</v>
      </c>
      <c r="F666" s="87">
        <v>471500</v>
      </c>
      <c r="G666" s="87">
        <v>510280</v>
      </c>
      <c r="H666" s="88">
        <v>0</v>
      </c>
    </row>
    <row r="667" spans="1:8" ht="21.75" customHeight="1" x14ac:dyDescent="0.15">
      <c r="A667" s="250"/>
      <c r="B667" s="23" t="s">
        <v>2548</v>
      </c>
      <c r="C667" s="22">
        <v>21</v>
      </c>
      <c r="D667" s="86">
        <v>133500</v>
      </c>
      <c r="E667" s="86">
        <v>110493</v>
      </c>
      <c r="F667" s="87">
        <v>13145</v>
      </c>
      <c r="G667" s="87">
        <v>9862</v>
      </c>
      <c r="H667" s="88">
        <v>0</v>
      </c>
    </row>
    <row r="668" spans="1:8" ht="21.75" customHeight="1" x14ac:dyDescent="0.15">
      <c r="A668" s="250"/>
      <c r="B668" s="23" t="s">
        <v>2549</v>
      </c>
      <c r="C668" s="22">
        <v>0</v>
      </c>
      <c r="D668" s="86">
        <v>0</v>
      </c>
      <c r="E668" s="86">
        <v>0</v>
      </c>
      <c r="F668" s="87">
        <v>0</v>
      </c>
      <c r="G668" s="87">
        <v>0</v>
      </c>
      <c r="H668" s="88">
        <v>0</v>
      </c>
    </row>
    <row r="669" spans="1:8" ht="21.75" customHeight="1" x14ac:dyDescent="0.15">
      <c r="A669" s="250"/>
      <c r="B669" s="23" t="s">
        <v>2550</v>
      </c>
      <c r="C669" s="22">
        <v>208</v>
      </c>
      <c r="D669" s="86">
        <v>5066370</v>
      </c>
      <c r="E669" s="86">
        <v>605030</v>
      </c>
      <c r="F669" s="87">
        <v>2559430</v>
      </c>
      <c r="G669" s="87">
        <v>1855910</v>
      </c>
      <c r="H669" s="88">
        <v>46000</v>
      </c>
    </row>
    <row r="670" spans="1:8" ht="21.75" customHeight="1" x14ac:dyDescent="0.15">
      <c r="A670" s="250"/>
      <c r="B670" s="23" t="s">
        <v>2551</v>
      </c>
      <c r="C670" s="22">
        <v>4146</v>
      </c>
      <c r="D670" s="86">
        <v>85481627</v>
      </c>
      <c r="E670" s="86">
        <v>20754953</v>
      </c>
      <c r="F670" s="87">
        <v>30012406</v>
      </c>
      <c r="G670" s="87">
        <v>34071658</v>
      </c>
      <c r="H670" s="88">
        <v>642609</v>
      </c>
    </row>
    <row r="671" spans="1:8" ht="21.75" customHeight="1" x14ac:dyDescent="0.15">
      <c r="A671" s="250"/>
      <c r="B671" s="23" t="s">
        <v>2552</v>
      </c>
      <c r="C671" s="22">
        <v>785</v>
      </c>
      <c r="D671" s="86">
        <v>17893960</v>
      </c>
      <c r="E671" s="86">
        <v>4370417</v>
      </c>
      <c r="F671" s="87">
        <v>6183812</v>
      </c>
      <c r="G671" s="87">
        <v>7266877</v>
      </c>
      <c r="H671" s="88">
        <v>72853</v>
      </c>
    </row>
    <row r="672" spans="1:8" ht="21.75" customHeight="1" x14ac:dyDescent="0.15">
      <c r="A672" s="250"/>
      <c r="B672" s="23" t="s">
        <v>2553</v>
      </c>
      <c r="C672" s="22">
        <v>63917</v>
      </c>
      <c r="D672" s="86">
        <v>15518217</v>
      </c>
      <c r="E672" s="86">
        <v>4279909</v>
      </c>
      <c r="F672" s="87">
        <v>4862921</v>
      </c>
      <c r="G672" s="87">
        <v>6348514</v>
      </c>
      <c r="H672" s="88">
        <v>26871</v>
      </c>
    </row>
    <row r="673" spans="1:8" ht="21.75" customHeight="1" x14ac:dyDescent="0.15">
      <c r="A673" s="250"/>
      <c r="B673" s="23" t="s">
        <v>2554</v>
      </c>
      <c r="C673" s="22">
        <v>465</v>
      </c>
      <c r="D673" s="86">
        <v>3837335</v>
      </c>
      <c r="E673" s="86">
        <v>3252610</v>
      </c>
      <c r="F673" s="87">
        <v>497080</v>
      </c>
      <c r="G673" s="87">
        <v>87398</v>
      </c>
      <c r="H673" s="88">
        <v>245</v>
      </c>
    </row>
    <row r="674" spans="1:8" ht="21.75" customHeight="1" x14ac:dyDescent="0.15">
      <c r="A674" s="250"/>
      <c r="B674" s="23" t="s">
        <v>2555</v>
      </c>
      <c r="C674" s="22">
        <v>31</v>
      </c>
      <c r="D674" s="86">
        <v>89700</v>
      </c>
      <c r="E674" s="86">
        <v>16900</v>
      </c>
      <c r="F674" s="87">
        <v>52100</v>
      </c>
      <c r="G674" s="87">
        <v>20700</v>
      </c>
      <c r="H674" s="88">
        <v>0</v>
      </c>
    </row>
    <row r="675" spans="1:8" ht="21.75" customHeight="1" x14ac:dyDescent="0.15">
      <c r="A675" s="250"/>
      <c r="B675" s="23" t="s">
        <v>2556</v>
      </c>
      <c r="C675" s="22">
        <v>833</v>
      </c>
      <c r="D675" s="86">
        <v>3161128</v>
      </c>
      <c r="E675" s="86">
        <v>188371</v>
      </c>
      <c r="F675" s="87">
        <v>1677749</v>
      </c>
      <c r="G675" s="87">
        <v>1295007</v>
      </c>
      <c r="H675" s="88">
        <v>0</v>
      </c>
    </row>
    <row r="676" spans="1:8" ht="21.75" customHeight="1" x14ac:dyDescent="0.15">
      <c r="A676" s="250"/>
      <c r="B676" s="23" t="s">
        <v>2557</v>
      </c>
      <c r="C676" s="22">
        <v>284</v>
      </c>
      <c r="D676" s="86">
        <v>7421300</v>
      </c>
      <c r="E676" s="86">
        <v>1293608</v>
      </c>
      <c r="F676" s="87">
        <v>2254720</v>
      </c>
      <c r="G676" s="87">
        <v>3845772</v>
      </c>
      <c r="H676" s="88">
        <v>27200</v>
      </c>
    </row>
    <row r="677" spans="1:8" ht="21.75" customHeight="1" x14ac:dyDescent="0.15">
      <c r="A677" s="250"/>
      <c r="B677" s="23" t="s">
        <v>2558</v>
      </c>
      <c r="C677" s="22">
        <v>69</v>
      </c>
      <c r="D677" s="86">
        <v>1187350</v>
      </c>
      <c r="E677" s="86">
        <v>125800</v>
      </c>
      <c r="F677" s="87">
        <v>523350</v>
      </c>
      <c r="G677" s="87">
        <v>538200</v>
      </c>
      <c r="H677" s="88">
        <v>0</v>
      </c>
    </row>
    <row r="678" spans="1:8" ht="21.75" customHeight="1" x14ac:dyDescent="0.15">
      <c r="A678" s="250"/>
      <c r="B678" s="23" t="s">
        <v>2559</v>
      </c>
      <c r="C678" s="22">
        <v>0</v>
      </c>
      <c r="D678" s="86">
        <v>0</v>
      </c>
      <c r="E678" s="86">
        <v>0</v>
      </c>
      <c r="F678" s="87">
        <v>0</v>
      </c>
      <c r="G678" s="87">
        <v>0</v>
      </c>
      <c r="H678" s="88">
        <v>0</v>
      </c>
    </row>
    <row r="679" spans="1:8" ht="21.75" customHeight="1" x14ac:dyDescent="0.15">
      <c r="A679" s="250"/>
      <c r="B679" s="23" t="s">
        <v>2560</v>
      </c>
      <c r="C679" s="22">
        <v>0</v>
      </c>
      <c r="D679" s="86">
        <v>0</v>
      </c>
      <c r="E679" s="86">
        <v>0</v>
      </c>
      <c r="F679" s="87">
        <v>0</v>
      </c>
      <c r="G679" s="87">
        <v>0</v>
      </c>
      <c r="H679" s="88">
        <v>0</v>
      </c>
    </row>
    <row r="680" spans="1:8" ht="21.75" customHeight="1" x14ac:dyDescent="0.15">
      <c r="A680" s="250"/>
      <c r="B680" s="23" t="s">
        <v>2561</v>
      </c>
      <c r="C680" s="22">
        <v>0</v>
      </c>
      <c r="D680" s="86">
        <v>0</v>
      </c>
      <c r="E680" s="86">
        <v>0</v>
      </c>
      <c r="F680" s="87">
        <v>0</v>
      </c>
      <c r="G680" s="87">
        <v>0</v>
      </c>
      <c r="H680" s="88">
        <v>0</v>
      </c>
    </row>
    <row r="681" spans="1:8" ht="21.75" customHeight="1" x14ac:dyDescent="0.15">
      <c r="A681" s="251"/>
      <c r="B681" s="23" t="s">
        <v>2562</v>
      </c>
      <c r="C681" s="22">
        <v>71</v>
      </c>
      <c r="D681" s="86">
        <v>5970</v>
      </c>
      <c r="E681" s="86">
        <v>0</v>
      </c>
      <c r="F681" s="87">
        <v>0</v>
      </c>
      <c r="G681" s="87">
        <v>5970</v>
      </c>
      <c r="H681" s="88">
        <v>0</v>
      </c>
    </row>
    <row r="682" spans="1:8" ht="21.75" customHeight="1" x14ac:dyDescent="0.15">
      <c r="A682" s="18" t="s">
        <v>2563</v>
      </c>
      <c r="B682" s="17" t="s">
        <v>2564</v>
      </c>
      <c r="C682" s="16">
        <v>3472</v>
      </c>
      <c r="D682" s="80">
        <v>24997340</v>
      </c>
      <c r="E682" s="80">
        <v>882300</v>
      </c>
      <c r="F682" s="81">
        <v>11529764</v>
      </c>
      <c r="G682" s="81">
        <v>10505712</v>
      </c>
      <c r="H682" s="82">
        <v>2079564</v>
      </c>
    </row>
    <row r="683" spans="1:8" ht="21.75" customHeight="1" x14ac:dyDescent="0.15">
      <c r="A683" s="252" t="s">
        <v>2565</v>
      </c>
      <c r="B683" s="12" t="s">
        <v>2566</v>
      </c>
      <c r="C683" s="11">
        <v>5645</v>
      </c>
      <c r="D683" s="89">
        <v>98122035</v>
      </c>
      <c r="E683" s="89">
        <v>61287826</v>
      </c>
      <c r="F683" s="90">
        <v>17044153</v>
      </c>
      <c r="G683" s="90">
        <v>12182021</v>
      </c>
      <c r="H683" s="91">
        <v>7608034</v>
      </c>
    </row>
    <row r="684" spans="1:8" ht="21.75" customHeight="1" thickBot="1" x14ac:dyDescent="0.2">
      <c r="A684" s="253"/>
      <c r="B684" s="7" t="s">
        <v>2567</v>
      </c>
      <c r="C684" s="6">
        <v>8360</v>
      </c>
      <c r="D684" s="92" t="s">
        <v>54</v>
      </c>
      <c r="E684" s="92" t="s">
        <v>54</v>
      </c>
      <c r="F684" s="92" t="s">
        <v>54</v>
      </c>
      <c r="G684" s="92" t="s">
        <v>54</v>
      </c>
      <c r="H684" s="93" t="s">
        <v>54</v>
      </c>
    </row>
    <row r="685" spans="1:8" ht="18" customHeight="1" x14ac:dyDescent="0.15">
      <c r="A685" s="3" t="s">
        <v>2568</v>
      </c>
      <c r="B685" s="2"/>
      <c r="C685" s="2"/>
      <c r="D685" s="2"/>
      <c r="E685" s="2"/>
      <c r="F685" s="2"/>
      <c r="G685" s="2"/>
      <c r="H685" s="2"/>
    </row>
    <row r="686" spans="1:8" ht="18" customHeight="1" x14ac:dyDescent="0.15">
      <c r="A686" s="3" t="s">
        <v>2587</v>
      </c>
      <c r="B686" s="2"/>
      <c r="C686" s="2"/>
      <c r="D686" s="2"/>
      <c r="E686" s="2"/>
      <c r="F686" s="2"/>
      <c r="G686" s="2"/>
      <c r="H686" s="2"/>
    </row>
    <row r="687" spans="1:8" ht="18" customHeight="1" x14ac:dyDescent="0.15">
      <c r="A687" s="3" t="s">
        <v>2569</v>
      </c>
      <c r="B687" s="2"/>
      <c r="C687" s="2"/>
      <c r="D687" s="2"/>
      <c r="E687" s="2"/>
      <c r="F687" s="2"/>
      <c r="G687" s="2"/>
      <c r="H687" s="2"/>
    </row>
    <row r="688" spans="1:8" ht="18" customHeight="1" x14ac:dyDescent="0.15">
      <c r="A688" s="3" t="s">
        <v>2570</v>
      </c>
      <c r="B688" s="2"/>
      <c r="C688" s="2"/>
      <c r="D688" s="2"/>
      <c r="E688" s="2"/>
      <c r="F688" s="2"/>
      <c r="G688" s="2"/>
      <c r="H688" s="2"/>
    </row>
    <row r="689" spans="1:8" ht="24" x14ac:dyDescent="0.15">
      <c r="A689" s="230" t="s">
        <v>2518</v>
      </c>
      <c r="B689" s="230"/>
      <c r="C689" s="230"/>
      <c r="D689" s="230"/>
      <c r="E689" s="230"/>
      <c r="F689" s="230"/>
      <c r="G689" s="230"/>
      <c r="H689" s="230"/>
    </row>
    <row r="690" spans="1:8" ht="18" customHeight="1" x14ac:dyDescent="0.15">
      <c r="A690" s="231"/>
      <c r="B690" s="231"/>
      <c r="C690" s="231"/>
      <c r="D690" s="231"/>
      <c r="E690" s="231"/>
      <c r="F690" s="231"/>
      <c r="G690" s="231"/>
      <c r="H690" s="231"/>
    </row>
    <row r="691" spans="1:8" thickBot="1" x14ac:dyDescent="0.2">
      <c r="A691" s="58" t="s">
        <v>48</v>
      </c>
    </row>
    <row r="692" spans="1:8" ht="18" customHeight="1" x14ac:dyDescent="0.15">
      <c r="A692" s="262" t="s">
        <v>47</v>
      </c>
      <c r="B692" s="265" t="s">
        <v>46</v>
      </c>
      <c r="C692" s="268" t="s">
        <v>45</v>
      </c>
      <c r="D692" s="271" t="s">
        <v>44</v>
      </c>
      <c r="E692" s="164"/>
      <c r="F692" s="56"/>
      <c r="G692" s="56"/>
      <c r="H692" s="55"/>
    </row>
    <row r="693" spans="1:8" ht="18" customHeight="1" x14ac:dyDescent="0.15">
      <c r="A693" s="263"/>
      <c r="B693" s="266"/>
      <c r="C693" s="269"/>
      <c r="D693" s="272"/>
      <c r="E693" s="258" t="s">
        <v>43</v>
      </c>
      <c r="F693" s="246" t="s">
        <v>42</v>
      </c>
      <c r="G693" s="246" t="s">
        <v>41</v>
      </c>
      <c r="H693" s="273" t="s">
        <v>40</v>
      </c>
    </row>
    <row r="694" spans="1:8" ht="18" customHeight="1" thickBot="1" x14ac:dyDescent="0.2">
      <c r="A694" s="264"/>
      <c r="B694" s="267"/>
      <c r="C694" s="270"/>
      <c r="D694" s="245"/>
      <c r="E694" s="259"/>
      <c r="F694" s="247"/>
      <c r="G694" s="247"/>
      <c r="H694" s="274"/>
    </row>
    <row r="695" spans="1:8" s="60" customFormat="1" ht="18" customHeight="1" thickTop="1" x14ac:dyDescent="0.15">
      <c r="A695" s="165"/>
      <c r="B695" s="166"/>
      <c r="C695" s="52"/>
      <c r="D695" s="51" t="s">
        <v>39</v>
      </c>
      <c r="E695" s="50" t="s">
        <v>39</v>
      </c>
      <c r="F695" s="49" t="s">
        <v>39</v>
      </c>
      <c r="G695" s="49" t="s">
        <v>39</v>
      </c>
      <c r="H695" s="48" t="s">
        <v>39</v>
      </c>
    </row>
    <row r="696" spans="1:8" ht="21.75" customHeight="1" x14ac:dyDescent="0.15">
      <c r="A696" s="250" t="s">
        <v>38</v>
      </c>
      <c r="B696" s="61" t="s">
        <v>37</v>
      </c>
      <c r="C696" s="62">
        <v>3946</v>
      </c>
      <c r="D696" s="63">
        <f>QUOTIENT(750130591694108,1000000)</f>
        <v>750130591</v>
      </c>
      <c r="E696" s="63">
        <f>QUOTIENT(272866498367380,1000000)</f>
        <v>272866498</v>
      </c>
      <c r="F696" s="64">
        <f>QUOTIENT(237266980611095,1000000)</f>
        <v>237266980</v>
      </c>
      <c r="G696" s="64">
        <f>QUOTIENT(230229185636195,1000000)</f>
        <v>230229185</v>
      </c>
      <c r="H696" s="65">
        <f>QUOTIENT(9767927079437,1000000)</f>
        <v>9767927</v>
      </c>
    </row>
    <row r="697" spans="1:8" ht="21.75" customHeight="1" x14ac:dyDescent="0.15">
      <c r="A697" s="250"/>
      <c r="B697" s="66" t="s">
        <v>36</v>
      </c>
      <c r="C697" s="67">
        <v>14</v>
      </c>
      <c r="D697" s="68">
        <f>QUOTIENT(15718409500,1000000)</f>
        <v>15718</v>
      </c>
      <c r="E697" s="68">
        <f>QUOTIENT(11019524500,1000000)</f>
        <v>11019</v>
      </c>
      <c r="F697" s="69">
        <f>QUOTIENT(4371485000,1000000)</f>
        <v>4371</v>
      </c>
      <c r="G697" s="69">
        <f>QUOTIENT(326405000,1000000)</f>
        <v>326</v>
      </c>
      <c r="H697" s="115">
        <f>QUOTIENT(995000,1000000)</f>
        <v>0</v>
      </c>
    </row>
    <row r="698" spans="1:8" ht="21.75" customHeight="1" x14ac:dyDescent="0.15">
      <c r="A698" s="250"/>
      <c r="B698" s="66" t="s">
        <v>35</v>
      </c>
      <c r="C698" s="67">
        <v>118</v>
      </c>
      <c r="D698" s="68">
        <f>QUOTIENT(0,1000000)</f>
        <v>0</v>
      </c>
      <c r="E698" s="68">
        <f>QUOTIENT(0,1000000)</f>
        <v>0</v>
      </c>
      <c r="F698" s="69">
        <f>QUOTIENT(0,1000000)</f>
        <v>0</v>
      </c>
      <c r="G698" s="69">
        <f>QUOTIENT(0,1000000)</f>
        <v>0</v>
      </c>
      <c r="H698" s="70">
        <f>QUOTIENT(0,1000000)</f>
        <v>0</v>
      </c>
    </row>
    <row r="699" spans="1:8" ht="21.75" customHeight="1" x14ac:dyDescent="0.15">
      <c r="A699" s="250"/>
      <c r="B699" s="71" t="s">
        <v>34</v>
      </c>
      <c r="C699" s="72">
        <v>1</v>
      </c>
      <c r="D699" s="73">
        <f>QUOTIENT(189449385000,1000000)</f>
        <v>189449</v>
      </c>
      <c r="E699" s="73">
        <f>QUOTIENT(142753515000,1000000)</f>
        <v>142753</v>
      </c>
      <c r="F699" s="74">
        <f>QUOTIENT(9321037500,1000000)</f>
        <v>9321</v>
      </c>
      <c r="G699" s="74">
        <f>QUOTIENT(34601660000,1000000)</f>
        <v>34601</v>
      </c>
      <c r="H699" s="75">
        <f>QUOTIENT(2773172500,1000000)</f>
        <v>2773</v>
      </c>
    </row>
    <row r="700" spans="1:8" ht="21.75" customHeight="1" x14ac:dyDescent="0.15">
      <c r="A700" s="250"/>
      <c r="B700" s="66" t="s">
        <v>33</v>
      </c>
      <c r="C700" s="67">
        <v>67</v>
      </c>
      <c r="D700" s="68">
        <f>QUOTIENT(16599573575100,1000000)</f>
        <v>16599573</v>
      </c>
      <c r="E700" s="68">
        <f>QUOTIENT(4022806229900,1000000)</f>
        <v>4022806</v>
      </c>
      <c r="F700" s="69">
        <f>QUOTIENT(4754235600750,1000000)</f>
        <v>4754235</v>
      </c>
      <c r="G700" s="69">
        <f>QUOTIENT(7657996141650,1000000)</f>
        <v>7657996</v>
      </c>
      <c r="H700" s="70">
        <f>QUOTIENT(164535602800,1000000)</f>
        <v>164535</v>
      </c>
    </row>
    <row r="701" spans="1:8" ht="21.75" customHeight="1" x14ac:dyDescent="0.15">
      <c r="A701" s="250"/>
      <c r="B701" s="76" t="s">
        <v>32</v>
      </c>
      <c r="C701" s="67">
        <v>242</v>
      </c>
      <c r="D701" s="68">
        <f>QUOTIENT(62064033782457,1000000)</f>
        <v>62064033</v>
      </c>
      <c r="E701" s="68">
        <f>QUOTIENT(4943164008785,1000000)</f>
        <v>4943164</v>
      </c>
      <c r="F701" s="69">
        <f>QUOTIENT(1614956006716,1000000)</f>
        <v>1614956</v>
      </c>
      <c r="G701" s="69">
        <f>QUOTIENT(55310461075885,1000000)</f>
        <v>55310461</v>
      </c>
      <c r="H701" s="70">
        <f>QUOTIENT(195452691071,1000000)</f>
        <v>195452</v>
      </c>
    </row>
    <row r="702" spans="1:8" ht="21.75" customHeight="1" x14ac:dyDescent="0.15">
      <c r="A702" s="251"/>
      <c r="B702" s="77" t="s">
        <v>31</v>
      </c>
      <c r="C702" s="72">
        <v>45</v>
      </c>
      <c r="D702" s="73">
        <f>QUOTIENT(434135532279,1000000)</f>
        <v>434135</v>
      </c>
      <c r="E702" s="73">
        <f>QUOTIENT(303575083074,1000000)</f>
        <v>303575</v>
      </c>
      <c r="F702" s="74">
        <f>QUOTIENT(7350756955,1000000)</f>
        <v>7350</v>
      </c>
      <c r="G702" s="74">
        <f>QUOTIENT(109668688294,1000000)</f>
        <v>109668</v>
      </c>
      <c r="H702" s="75">
        <f>QUOTIENT(13541003956,1000000)</f>
        <v>13541</v>
      </c>
    </row>
    <row r="703" spans="1:8" ht="21.75" customHeight="1" x14ac:dyDescent="0.15">
      <c r="A703" s="30" t="s">
        <v>30</v>
      </c>
      <c r="B703" s="78" t="s">
        <v>29</v>
      </c>
      <c r="C703" s="79">
        <v>27</v>
      </c>
      <c r="D703" s="80">
        <f>QUOTIENT(140709578928,1000000)</f>
        <v>140709</v>
      </c>
      <c r="E703" s="80">
        <f>QUOTIENT(126536728783,1000000)</f>
        <v>126536</v>
      </c>
      <c r="F703" s="81">
        <f>QUOTIENT(1491798804,1000000)</f>
        <v>1491</v>
      </c>
      <c r="G703" s="81">
        <f>QUOTIENT(83507000,1000000)</f>
        <v>83</v>
      </c>
      <c r="H703" s="82">
        <f>QUOTIENT(12597544341,1000000)</f>
        <v>12597</v>
      </c>
    </row>
    <row r="704" spans="1:8" ht="21.75" customHeight="1" x14ac:dyDescent="0.15">
      <c r="A704" s="252" t="s">
        <v>28</v>
      </c>
      <c r="B704" s="17" t="s">
        <v>27</v>
      </c>
      <c r="C704" s="16">
        <v>3467</v>
      </c>
      <c r="D704" s="83">
        <f>QUOTIENT(65234128570000,1000000)</f>
        <v>65234128</v>
      </c>
      <c r="E704" s="83">
        <f>QUOTIENT(10398289100000,1000000)</f>
        <v>10398289</v>
      </c>
      <c r="F704" s="84">
        <f>QUOTIENT(29445662970000,1000000)</f>
        <v>29445662</v>
      </c>
      <c r="G704" s="84">
        <f>QUOTIENT(25278632470000,1000000)</f>
        <v>25278632</v>
      </c>
      <c r="H704" s="85">
        <f>QUOTIENT(111544030000,1000000)</f>
        <v>111544</v>
      </c>
    </row>
    <row r="705" spans="1:8" ht="21.75" customHeight="1" x14ac:dyDescent="0.15">
      <c r="A705" s="250"/>
      <c r="B705" s="23" t="s">
        <v>26</v>
      </c>
      <c r="C705" s="22">
        <v>3553</v>
      </c>
      <c r="D705" s="86">
        <f>QUOTIENT(15308904474000,1000000)</f>
        <v>15308904</v>
      </c>
      <c r="E705" s="86">
        <f>QUOTIENT(486736836000,1000000)</f>
        <v>486736</v>
      </c>
      <c r="F705" s="87">
        <f>QUOTIENT(9917121534000,1000000)</f>
        <v>9917121</v>
      </c>
      <c r="G705" s="87">
        <f>QUOTIENT(4894109104000,1000000)</f>
        <v>4894109</v>
      </c>
      <c r="H705" s="88">
        <f>QUOTIENT(10937000000,1000000)</f>
        <v>10937</v>
      </c>
    </row>
    <row r="706" spans="1:8" ht="21.75" customHeight="1" x14ac:dyDescent="0.15">
      <c r="A706" s="250"/>
      <c r="B706" s="24" t="s">
        <v>25</v>
      </c>
      <c r="C706" s="22">
        <v>550</v>
      </c>
      <c r="D706" s="86">
        <f>QUOTIENT(20723900000000,1000000)</f>
        <v>20723900</v>
      </c>
      <c r="E706" s="86">
        <f>QUOTIENT(1584674000000,1000000)</f>
        <v>1584674</v>
      </c>
      <c r="F706" s="87">
        <f>QUOTIENT(8654461600000,1000000)</f>
        <v>8654461</v>
      </c>
      <c r="G706" s="87">
        <f>QUOTIENT(10432762400000,1000000)</f>
        <v>10432762</v>
      </c>
      <c r="H706" s="88">
        <f>QUOTIENT(52002000000,1000000)</f>
        <v>52002</v>
      </c>
    </row>
    <row r="707" spans="1:8" ht="21.75" customHeight="1" x14ac:dyDescent="0.15">
      <c r="A707" s="250"/>
      <c r="B707" s="23" t="s">
        <v>24</v>
      </c>
      <c r="C707" s="22">
        <v>2122</v>
      </c>
      <c r="D707" s="86">
        <f>QUOTIENT(56872600000000,1000000)</f>
        <v>56872600</v>
      </c>
      <c r="E707" s="86">
        <f>QUOTIENT(7710845600000,1000000)</f>
        <v>7710845</v>
      </c>
      <c r="F707" s="87">
        <f>QUOTIENT(19570601400000,1000000)</f>
        <v>19570601</v>
      </c>
      <c r="G707" s="87">
        <f>QUOTIENT(29583803000000,1000000)</f>
        <v>29583803</v>
      </c>
      <c r="H707" s="88">
        <f>QUOTIENT(7350000000,1000000)</f>
        <v>7350</v>
      </c>
    </row>
    <row r="708" spans="1:8" ht="21.75" customHeight="1" x14ac:dyDescent="0.15">
      <c r="A708" s="250"/>
      <c r="B708" s="23" t="s">
        <v>23</v>
      </c>
      <c r="C708" s="22">
        <v>503</v>
      </c>
      <c r="D708" s="86">
        <f>QUOTIENT(5114904000000,1000000)</f>
        <v>5114904</v>
      </c>
      <c r="E708" s="86">
        <f>QUOTIENT(304336400000,1000000)</f>
        <v>304336</v>
      </c>
      <c r="F708" s="87">
        <f>QUOTIENT(88708100000,1000000)</f>
        <v>88708</v>
      </c>
      <c r="G708" s="87">
        <f>QUOTIENT(4721859500000,1000000)</f>
        <v>4721859</v>
      </c>
      <c r="H708" s="88">
        <f>QUOTIENT(0,1000000)</f>
        <v>0</v>
      </c>
    </row>
    <row r="709" spans="1:8" ht="21.75" customHeight="1" x14ac:dyDescent="0.15">
      <c r="A709" s="250"/>
      <c r="B709" s="23" t="s">
        <v>22</v>
      </c>
      <c r="C709" s="22">
        <v>165</v>
      </c>
      <c r="D709" s="86">
        <f>QUOTIENT(1322300000000,1000000)</f>
        <v>1322300</v>
      </c>
      <c r="E709" s="86">
        <f>QUOTIENT(334920000000,1000000)</f>
        <v>334920</v>
      </c>
      <c r="F709" s="87">
        <f>QUOTIENT(473800000000,1000000)</f>
        <v>473800</v>
      </c>
      <c r="G709" s="87">
        <f>QUOTIENT(513580000000,1000000)</f>
        <v>513580</v>
      </c>
      <c r="H709" s="88">
        <f>QUOTIENT(0,1000000)</f>
        <v>0</v>
      </c>
    </row>
    <row r="710" spans="1:8" ht="21.75" customHeight="1" x14ac:dyDescent="0.15">
      <c r="A710" s="250"/>
      <c r="B710" s="23" t="s">
        <v>21</v>
      </c>
      <c r="C710" s="22">
        <v>21</v>
      </c>
      <c r="D710" s="86">
        <f>QUOTIENT(133500000000,1000000)</f>
        <v>133500</v>
      </c>
      <c r="E710" s="86">
        <f>QUOTIENT(110493000000,1000000)</f>
        <v>110493</v>
      </c>
      <c r="F710" s="87">
        <f>QUOTIENT(13145000000,1000000)</f>
        <v>13145</v>
      </c>
      <c r="G710" s="87">
        <f>QUOTIENT(9862000000,1000000)</f>
        <v>9862</v>
      </c>
      <c r="H710" s="88">
        <f>QUOTIENT(0,1000000)</f>
        <v>0</v>
      </c>
    </row>
    <row r="711" spans="1:8" ht="21.75" customHeight="1" x14ac:dyDescent="0.15">
      <c r="A711" s="250"/>
      <c r="B711" s="23" t="s">
        <v>20</v>
      </c>
      <c r="C711" s="22">
        <v>0</v>
      </c>
      <c r="D711" s="86">
        <f>QUOTIENT(0,1000000)</f>
        <v>0</v>
      </c>
      <c r="E711" s="86">
        <f>QUOTIENT(0,1000000)</f>
        <v>0</v>
      </c>
      <c r="F711" s="87">
        <f>QUOTIENT(0,1000000)</f>
        <v>0</v>
      </c>
      <c r="G711" s="87">
        <f>QUOTIENT(0,1000000)</f>
        <v>0</v>
      </c>
      <c r="H711" s="88">
        <f>QUOTIENT(0,1000000)</f>
        <v>0</v>
      </c>
    </row>
    <row r="712" spans="1:8" ht="21.75" customHeight="1" x14ac:dyDescent="0.15">
      <c r="A712" s="250"/>
      <c r="B712" s="23" t="s">
        <v>19</v>
      </c>
      <c r="C712" s="22">
        <v>208</v>
      </c>
      <c r="D712" s="86">
        <f>QUOTIENT(5084350000000,1000000)</f>
        <v>5084350</v>
      </c>
      <c r="E712" s="86">
        <f>QUOTIENT(592800000000,1000000)</f>
        <v>592800</v>
      </c>
      <c r="F712" s="87">
        <f>QUOTIENT(2556330000000,1000000)</f>
        <v>2556330</v>
      </c>
      <c r="G712" s="87">
        <f>QUOTIENT(1779640000000,1000000)</f>
        <v>1779640</v>
      </c>
      <c r="H712" s="88">
        <f>QUOTIENT(155580000000,1000000)</f>
        <v>155580</v>
      </c>
    </row>
    <row r="713" spans="1:8" ht="21.75" customHeight="1" x14ac:dyDescent="0.15">
      <c r="A713" s="250"/>
      <c r="B713" s="23" t="s">
        <v>18</v>
      </c>
      <c r="C713" s="22">
        <v>4140</v>
      </c>
      <c r="D713" s="86">
        <f>QUOTIENT(85278858000000,1000000)</f>
        <v>85278858</v>
      </c>
      <c r="E713" s="86">
        <f>QUOTIENT(20574247600000,1000000)</f>
        <v>20574247</v>
      </c>
      <c r="F713" s="87">
        <f>QUOTIENT(29954222400000,1000000)</f>
        <v>29954222</v>
      </c>
      <c r="G713" s="87">
        <f>QUOTIENT(34085311100000,1000000)</f>
        <v>34085311</v>
      </c>
      <c r="H713" s="88">
        <f>QUOTIENT(665076900000,1000000)</f>
        <v>665076</v>
      </c>
    </row>
    <row r="714" spans="1:8" ht="21.75" customHeight="1" x14ac:dyDescent="0.15">
      <c r="A714" s="250"/>
      <c r="B714" s="23" t="s">
        <v>17</v>
      </c>
      <c r="C714" s="22">
        <v>784</v>
      </c>
      <c r="D714" s="86">
        <f>QUOTIENT(17872860000000,1000000)</f>
        <v>17872860</v>
      </c>
      <c r="E714" s="86">
        <f>QUOTIENT(4354834100000,1000000)</f>
        <v>4354834</v>
      </c>
      <c r="F714" s="87">
        <f>QUOTIENT(6185143100000,1000000)</f>
        <v>6185143</v>
      </c>
      <c r="G714" s="87">
        <f>QUOTIENT(7270091600000,1000000)</f>
        <v>7270091</v>
      </c>
      <c r="H714" s="88">
        <f>QUOTIENT(62791200000,1000000)</f>
        <v>62791</v>
      </c>
    </row>
    <row r="715" spans="1:8" ht="21.75" customHeight="1" x14ac:dyDescent="0.15">
      <c r="A715" s="250"/>
      <c r="B715" s="23" t="s">
        <v>16</v>
      </c>
      <c r="C715" s="22">
        <v>64087</v>
      </c>
      <c r="D715" s="86">
        <f>QUOTIENT(15799654927000,1000000)</f>
        <v>15799654</v>
      </c>
      <c r="E715" s="86">
        <f>QUOTIENT(4364258303000,1000000)</f>
        <v>4364258</v>
      </c>
      <c r="F715" s="87">
        <f>QUOTIENT(4908577814000,1000000)</f>
        <v>4908577</v>
      </c>
      <c r="G715" s="87">
        <f>QUOTIENT(6497947810000,1000000)</f>
        <v>6497947</v>
      </c>
      <c r="H715" s="88">
        <f>QUOTIENT(28871000000,1000000)</f>
        <v>28871</v>
      </c>
    </row>
    <row r="716" spans="1:8" ht="21.75" customHeight="1" x14ac:dyDescent="0.15">
      <c r="A716" s="250"/>
      <c r="B716" s="23" t="s">
        <v>15</v>
      </c>
      <c r="C716" s="22">
        <v>470</v>
      </c>
      <c r="D716" s="86">
        <f>QUOTIENT(3906333427000,1000000)</f>
        <v>3906333</v>
      </c>
      <c r="E716" s="86">
        <f>QUOTIENT(3316358703000,1000000)</f>
        <v>3316358</v>
      </c>
      <c r="F716" s="87">
        <f>QUOTIENT(500330784000,1000000)</f>
        <v>500330</v>
      </c>
      <c r="G716" s="87">
        <f>QUOTIENT(89398940000,1000000)</f>
        <v>89398</v>
      </c>
      <c r="H716" s="88">
        <f>QUOTIENT(245000000,1000000)</f>
        <v>245</v>
      </c>
    </row>
    <row r="717" spans="1:8" ht="21.75" customHeight="1" x14ac:dyDescent="0.15">
      <c r="A717" s="250"/>
      <c r="B717" s="23" t="s">
        <v>14</v>
      </c>
      <c r="C717" s="22">
        <v>32</v>
      </c>
      <c r="D717" s="86">
        <f>QUOTIENT(94700000000,1000000)</f>
        <v>94700</v>
      </c>
      <c r="E717" s="86">
        <f>QUOTIENT(17400000000,1000000)</f>
        <v>17400</v>
      </c>
      <c r="F717" s="87">
        <f>QUOTIENT(54500000000,1000000)</f>
        <v>54500</v>
      </c>
      <c r="G717" s="87">
        <f>QUOTIENT(22800000000,1000000)</f>
        <v>22800</v>
      </c>
      <c r="H717" s="88">
        <f>QUOTIENT(0,1000000)</f>
        <v>0</v>
      </c>
    </row>
    <row r="718" spans="1:8" ht="21.75" customHeight="1" x14ac:dyDescent="0.15">
      <c r="A718" s="250"/>
      <c r="B718" s="23" t="s">
        <v>13</v>
      </c>
      <c r="C718" s="22">
        <v>821</v>
      </c>
      <c r="D718" s="86">
        <f>QUOTIENT(3156307328000,1000000)</f>
        <v>3156307</v>
      </c>
      <c r="E718" s="86">
        <f>QUOTIENT(192751780000,1000000)</f>
        <v>192751</v>
      </c>
      <c r="F718" s="87">
        <f>QUOTIENT(1676022698000,1000000)</f>
        <v>1676022</v>
      </c>
      <c r="G718" s="87">
        <f>QUOTIENT(1287532850000,1000000)</f>
        <v>1287532</v>
      </c>
      <c r="H718" s="88">
        <f>QUOTIENT(0,1000000)</f>
        <v>0</v>
      </c>
    </row>
    <row r="719" spans="1:8" ht="21.75" customHeight="1" x14ac:dyDescent="0.15">
      <c r="A719" s="250"/>
      <c r="B719" s="23" t="s">
        <v>12</v>
      </c>
      <c r="C719" s="22">
        <v>273</v>
      </c>
      <c r="D719" s="86">
        <f>QUOTIENT(7052500000000,1000000)</f>
        <v>7052500</v>
      </c>
      <c r="E719" s="86">
        <f>QUOTIENT(1062008000000,1000000)</f>
        <v>1062008</v>
      </c>
      <c r="F719" s="87">
        <f>QUOTIENT(2214920000000,1000000)</f>
        <v>2214920</v>
      </c>
      <c r="G719" s="87">
        <f>QUOTIENT(3747972000000,1000000)</f>
        <v>3747972</v>
      </c>
      <c r="H719" s="88">
        <f>QUOTIENT(27600000000,1000000)</f>
        <v>27600</v>
      </c>
    </row>
    <row r="720" spans="1:8" ht="21.75" customHeight="1" x14ac:dyDescent="0.15">
      <c r="A720" s="250"/>
      <c r="B720" s="23" t="s">
        <v>11</v>
      </c>
      <c r="C720" s="22">
        <v>70</v>
      </c>
      <c r="D720" s="86">
        <f>QUOTIENT(1212350000000,1000000)</f>
        <v>1212350</v>
      </c>
      <c r="E720" s="86">
        <f>QUOTIENT(127800000000,1000000)</f>
        <v>127800</v>
      </c>
      <c r="F720" s="87">
        <f>QUOTIENT(527550000000,1000000)</f>
        <v>527550</v>
      </c>
      <c r="G720" s="87">
        <f>QUOTIENT(557000000000,1000000)</f>
        <v>557000</v>
      </c>
      <c r="H720" s="88">
        <f>QUOTIENT(0,1000000)</f>
        <v>0</v>
      </c>
    </row>
    <row r="721" spans="1:8" ht="21.75" customHeight="1" x14ac:dyDescent="0.15">
      <c r="A721" s="250"/>
      <c r="B721" s="23" t="s">
        <v>10</v>
      </c>
      <c r="C721" s="22">
        <v>0</v>
      </c>
      <c r="D721" s="86">
        <f t="shared" ref="D721:G723" si="20">QUOTIENT(0,1000000)</f>
        <v>0</v>
      </c>
      <c r="E721" s="86">
        <f t="shared" si="20"/>
        <v>0</v>
      </c>
      <c r="F721" s="87">
        <f t="shared" si="20"/>
        <v>0</v>
      </c>
      <c r="G721" s="87">
        <f t="shared" si="20"/>
        <v>0</v>
      </c>
      <c r="H721" s="88">
        <f>QUOTIENT(0,1000000)</f>
        <v>0</v>
      </c>
    </row>
    <row r="722" spans="1:8" ht="21.75" customHeight="1" x14ac:dyDescent="0.15">
      <c r="A722" s="250"/>
      <c r="B722" s="23" t="s">
        <v>9</v>
      </c>
      <c r="C722" s="22">
        <v>0</v>
      </c>
      <c r="D722" s="86">
        <f t="shared" si="20"/>
        <v>0</v>
      </c>
      <c r="E722" s="86">
        <f t="shared" si="20"/>
        <v>0</v>
      </c>
      <c r="F722" s="87">
        <f t="shared" si="20"/>
        <v>0</v>
      </c>
      <c r="G722" s="87">
        <f t="shared" si="20"/>
        <v>0</v>
      </c>
      <c r="H722" s="88">
        <f>QUOTIENT(0,1000000)</f>
        <v>0</v>
      </c>
    </row>
    <row r="723" spans="1:8" ht="21.75" customHeight="1" x14ac:dyDescent="0.15">
      <c r="A723" s="250"/>
      <c r="B723" s="23" t="s">
        <v>8</v>
      </c>
      <c r="C723" s="22">
        <v>0</v>
      </c>
      <c r="D723" s="86">
        <f t="shared" si="20"/>
        <v>0</v>
      </c>
      <c r="E723" s="86">
        <f t="shared" si="20"/>
        <v>0</v>
      </c>
      <c r="F723" s="87">
        <f t="shared" si="20"/>
        <v>0</v>
      </c>
      <c r="G723" s="87">
        <f t="shared" si="20"/>
        <v>0</v>
      </c>
      <c r="H723" s="88">
        <f>QUOTIENT(0,1000000)</f>
        <v>0</v>
      </c>
    </row>
    <row r="724" spans="1:8" ht="21.75" customHeight="1" x14ac:dyDescent="0.15">
      <c r="A724" s="251"/>
      <c r="B724" s="23" t="s">
        <v>7</v>
      </c>
      <c r="C724" s="22">
        <v>68</v>
      </c>
      <c r="D724" s="86">
        <f>QUOTIENT(5840000000,1000000)</f>
        <v>5840</v>
      </c>
      <c r="E724" s="86">
        <f>QUOTIENT(0,1000000)</f>
        <v>0</v>
      </c>
      <c r="F724" s="87">
        <f>QUOTIENT(0,1000000)</f>
        <v>0</v>
      </c>
      <c r="G724" s="87">
        <f>QUOTIENT(5840000000,1000000)</f>
        <v>5840</v>
      </c>
      <c r="H724" s="88">
        <f>QUOTIENT(0,1000000)</f>
        <v>0</v>
      </c>
    </row>
    <row r="725" spans="1:8" ht="21.75" customHeight="1" x14ac:dyDescent="0.15">
      <c r="A725" s="18" t="s">
        <v>6</v>
      </c>
      <c r="B725" s="17" t="s">
        <v>5</v>
      </c>
      <c r="C725" s="16">
        <v>3363</v>
      </c>
      <c r="D725" s="80">
        <v>28004756</v>
      </c>
      <c r="E725" s="80">
        <v>869200</v>
      </c>
      <c r="F725" s="81">
        <v>12582011</v>
      </c>
      <c r="G725" s="81">
        <v>11434645</v>
      </c>
      <c r="H725" s="82">
        <v>3118900</v>
      </c>
    </row>
    <row r="726" spans="1:8" ht="21.75" customHeight="1" x14ac:dyDescent="0.15">
      <c r="A726" s="252" t="s">
        <v>4</v>
      </c>
      <c r="B726" s="12" t="s">
        <v>3</v>
      </c>
      <c r="C726" s="11">
        <v>5638</v>
      </c>
      <c r="D726" s="89">
        <f>QUOTIENT(101343381953496,1000000)</f>
        <v>101343381</v>
      </c>
      <c r="E726" s="89">
        <f>QUOTIENT(63342644690433,1000000)</f>
        <v>63342644</v>
      </c>
      <c r="F726" s="90">
        <f>QUOTIENT(17484520703515,1000000)</f>
        <v>17484520</v>
      </c>
      <c r="G726" s="90">
        <f>QUOTIENT(12609847900626,1000000)</f>
        <v>12609847</v>
      </c>
      <c r="H726" s="91">
        <f>QUOTIENT(7906368658922,1000000)</f>
        <v>7906368</v>
      </c>
    </row>
    <row r="727" spans="1:8" ht="21.75" customHeight="1" thickBot="1" x14ac:dyDescent="0.2">
      <c r="A727" s="253"/>
      <c r="B727" s="7" t="s">
        <v>1153</v>
      </c>
      <c r="C727" s="6">
        <v>8369</v>
      </c>
      <c r="D727" s="92" t="s">
        <v>2178</v>
      </c>
      <c r="E727" s="92" t="s">
        <v>2178</v>
      </c>
      <c r="F727" s="92" t="s">
        <v>2178</v>
      </c>
      <c r="G727" s="92" t="s">
        <v>2178</v>
      </c>
      <c r="H727" s="93" t="s">
        <v>2178</v>
      </c>
    </row>
    <row r="728" spans="1:8" ht="18" customHeight="1" x14ac:dyDescent="0.15">
      <c r="A728" s="3" t="s">
        <v>1155</v>
      </c>
      <c r="B728" s="2"/>
      <c r="C728" s="2"/>
      <c r="D728" s="2"/>
      <c r="E728" s="2"/>
      <c r="F728" s="2"/>
      <c r="G728" s="2"/>
      <c r="H728" s="2"/>
    </row>
    <row r="729" spans="1:8" ht="18" customHeight="1" x14ac:dyDescent="0.15">
      <c r="A729" s="3" t="s">
        <v>2587</v>
      </c>
      <c r="B729" s="2"/>
      <c r="C729" s="2"/>
      <c r="D729" s="2"/>
      <c r="E729" s="2"/>
      <c r="F729" s="2"/>
      <c r="G729" s="2"/>
      <c r="H729" s="2"/>
    </row>
    <row r="730" spans="1:8" ht="18" customHeight="1" x14ac:dyDescent="0.15">
      <c r="A730" s="3" t="s">
        <v>1156</v>
      </c>
      <c r="B730" s="2"/>
      <c r="C730" s="2"/>
      <c r="D730" s="2"/>
      <c r="E730" s="2"/>
      <c r="F730" s="2"/>
      <c r="G730" s="2"/>
      <c r="H730" s="2"/>
    </row>
    <row r="731" spans="1:8" ht="18" customHeight="1" x14ac:dyDescent="0.15">
      <c r="A731" s="3" t="s">
        <v>2519</v>
      </c>
      <c r="B731" s="2"/>
      <c r="C731" s="2"/>
      <c r="D731" s="2"/>
      <c r="E731" s="2"/>
      <c r="F731" s="2"/>
      <c r="G731" s="2"/>
      <c r="H731" s="2"/>
    </row>
    <row r="732" spans="1:8" ht="24" x14ac:dyDescent="0.15">
      <c r="A732" s="230" t="s">
        <v>2516</v>
      </c>
      <c r="B732" s="230"/>
      <c r="C732" s="230"/>
      <c r="D732" s="230"/>
      <c r="E732" s="230"/>
      <c r="F732" s="230"/>
      <c r="G732" s="230"/>
      <c r="H732" s="230"/>
    </row>
    <row r="733" spans="1:8" ht="18" customHeight="1" x14ac:dyDescent="0.15">
      <c r="A733" s="231"/>
      <c r="B733" s="231"/>
      <c r="C733" s="231"/>
      <c r="D733" s="231"/>
      <c r="E733" s="231"/>
      <c r="F733" s="231"/>
      <c r="G733" s="231"/>
      <c r="H733" s="231"/>
    </row>
    <row r="734" spans="1:8" thickBot="1" x14ac:dyDescent="0.2">
      <c r="A734" s="58" t="s">
        <v>48</v>
      </c>
    </row>
    <row r="735" spans="1:8" ht="18" customHeight="1" x14ac:dyDescent="0.15">
      <c r="A735" s="232" t="s">
        <v>47</v>
      </c>
      <c r="B735" s="235" t="s">
        <v>46</v>
      </c>
      <c r="C735" s="238" t="s">
        <v>45</v>
      </c>
      <c r="D735" s="241" t="s">
        <v>44</v>
      </c>
      <c r="E735" s="161"/>
      <c r="F735" s="56"/>
      <c r="G735" s="56"/>
      <c r="H735" s="55"/>
    </row>
    <row r="736" spans="1:8" ht="18" customHeight="1" x14ac:dyDescent="0.15">
      <c r="A736" s="233"/>
      <c r="B736" s="236"/>
      <c r="C736" s="239"/>
      <c r="D736" s="242"/>
      <c r="E736" s="244" t="s">
        <v>43</v>
      </c>
      <c r="F736" s="246" t="s">
        <v>42</v>
      </c>
      <c r="G736" s="246" t="s">
        <v>41</v>
      </c>
      <c r="H736" s="248" t="s">
        <v>40</v>
      </c>
    </row>
    <row r="737" spans="1:8" ht="18" customHeight="1" thickBot="1" x14ac:dyDescent="0.2">
      <c r="A737" s="234"/>
      <c r="B737" s="237"/>
      <c r="C737" s="240"/>
      <c r="D737" s="243"/>
      <c r="E737" s="245"/>
      <c r="F737" s="247"/>
      <c r="G737" s="247"/>
      <c r="H737" s="249"/>
    </row>
    <row r="738" spans="1:8" s="60" customFormat="1" ht="18" customHeight="1" thickTop="1" x14ac:dyDescent="0.15">
      <c r="A738" s="162"/>
      <c r="B738" s="163"/>
      <c r="C738" s="52"/>
      <c r="D738" s="51" t="s">
        <v>39</v>
      </c>
      <c r="E738" s="50" t="s">
        <v>39</v>
      </c>
      <c r="F738" s="49" t="s">
        <v>39</v>
      </c>
      <c r="G738" s="49" t="s">
        <v>39</v>
      </c>
      <c r="H738" s="48" t="s">
        <v>39</v>
      </c>
    </row>
    <row r="739" spans="1:8" ht="21.75" customHeight="1" x14ac:dyDescent="0.15">
      <c r="A739" s="250" t="s">
        <v>38</v>
      </c>
      <c r="B739" s="61" t="s">
        <v>37</v>
      </c>
      <c r="C739" s="62">
        <v>3942</v>
      </c>
      <c r="D739" s="63">
        <f>QUOTIENT(731832881829852,1000000)</f>
        <v>731832881</v>
      </c>
      <c r="E739" s="63">
        <f>QUOTIENT(266740816232554,1000000)</f>
        <v>266740816</v>
      </c>
      <c r="F739" s="64">
        <f>QUOTIENT(229962627231340,1000000)</f>
        <v>229962627</v>
      </c>
      <c r="G739" s="64">
        <f>QUOTIENT(225374454029824,1000000)</f>
        <v>225374454</v>
      </c>
      <c r="H739" s="65">
        <f>QUOTIENT(9754984336132,1000000)</f>
        <v>9754984</v>
      </c>
    </row>
    <row r="740" spans="1:8" ht="21.75" customHeight="1" x14ac:dyDescent="0.15">
      <c r="A740" s="250"/>
      <c r="B740" s="66" t="s">
        <v>36</v>
      </c>
      <c r="C740" s="67">
        <v>14</v>
      </c>
      <c r="D740" s="68">
        <f>QUOTIENT(15720570000,1000000)</f>
        <v>15720</v>
      </c>
      <c r="E740" s="68">
        <f>QUOTIENT(11022963500,1000000)</f>
        <v>11022</v>
      </c>
      <c r="F740" s="69">
        <f>QUOTIENT(4370625000,1000000)</f>
        <v>4370</v>
      </c>
      <c r="G740" s="69">
        <f>QUOTIENT(325988000,1000000)</f>
        <v>325</v>
      </c>
      <c r="H740" s="115">
        <f>QUOTIENT(993500,1000000)</f>
        <v>0</v>
      </c>
    </row>
    <row r="741" spans="1:8" ht="21.75" customHeight="1" x14ac:dyDescent="0.15">
      <c r="A741" s="250"/>
      <c r="B741" s="66" t="s">
        <v>35</v>
      </c>
      <c r="C741" s="67">
        <v>112</v>
      </c>
      <c r="D741" s="68">
        <f>QUOTIENT(0,1000000)</f>
        <v>0</v>
      </c>
      <c r="E741" s="68">
        <f>QUOTIENT(0,1000000)</f>
        <v>0</v>
      </c>
      <c r="F741" s="69">
        <f>QUOTIENT(0,1000000)</f>
        <v>0</v>
      </c>
      <c r="G741" s="69">
        <f>QUOTIENT(0,1000000)</f>
        <v>0</v>
      </c>
      <c r="H741" s="70">
        <f>QUOTIENT(0,1000000)</f>
        <v>0</v>
      </c>
    </row>
    <row r="742" spans="1:8" ht="21.75" customHeight="1" x14ac:dyDescent="0.15">
      <c r="A742" s="250"/>
      <c r="B742" s="71" t="s">
        <v>34</v>
      </c>
      <c r="C742" s="72">
        <v>1</v>
      </c>
      <c r="D742" s="73">
        <f>QUOTIENT(186404030400,1000000)</f>
        <v>186404</v>
      </c>
      <c r="E742" s="73">
        <f>QUOTIENT(140471945600,1000000)</f>
        <v>140471</v>
      </c>
      <c r="F742" s="74">
        <f>QUOTIENT(9149095200,1000000)</f>
        <v>9149</v>
      </c>
      <c r="G742" s="74">
        <f>QUOTIENT(34045446400,1000000)</f>
        <v>34045</v>
      </c>
      <c r="H742" s="75">
        <f>QUOTIENT(2737543200,1000000)</f>
        <v>2737</v>
      </c>
    </row>
    <row r="743" spans="1:8" ht="21.75" customHeight="1" x14ac:dyDescent="0.15">
      <c r="A743" s="250"/>
      <c r="B743" s="66" t="s">
        <v>33</v>
      </c>
      <c r="C743" s="67">
        <v>67</v>
      </c>
      <c r="D743" s="68">
        <f>QUOTIENT(16482880210100,1000000)</f>
        <v>16482880</v>
      </c>
      <c r="E743" s="68">
        <f>QUOTIENT(3971235206100,1000000)</f>
        <v>3971235</v>
      </c>
      <c r="F743" s="69">
        <f>QUOTIENT(4771271862100,1000000)</f>
        <v>4771271</v>
      </c>
      <c r="G743" s="69">
        <f>QUOTIENT(7591261413300,1000000)</f>
        <v>7591261</v>
      </c>
      <c r="H743" s="70">
        <f>QUOTIENT(149111728600,1000000)</f>
        <v>149111</v>
      </c>
    </row>
    <row r="744" spans="1:8" ht="21.75" customHeight="1" x14ac:dyDescent="0.15">
      <c r="A744" s="250"/>
      <c r="B744" s="76" t="s">
        <v>32</v>
      </c>
      <c r="C744" s="67">
        <v>238</v>
      </c>
      <c r="D744" s="68">
        <f>QUOTIENT(61024916456080,1000000)</f>
        <v>61024916</v>
      </c>
      <c r="E744" s="68">
        <f>QUOTIENT(5164100474420,1000000)</f>
        <v>5164100</v>
      </c>
      <c r="F744" s="69">
        <f>QUOTIENT(1589487660790,1000000)</f>
        <v>1589487</v>
      </c>
      <c r="G744" s="69">
        <f>QUOTIENT(54077948048494,1000000)</f>
        <v>54077948</v>
      </c>
      <c r="H744" s="70">
        <f>QUOTIENT(193380272374,1000000)</f>
        <v>193380</v>
      </c>
    </row>
    <row r="745" spans="1:8" ht="21.75" customHeight="1" x14ac:dyDescent="0.15">
      <c r="A745" s="251"/>
      <c r="B745" s="77" t="s">
        <v>31</v>
      </c>
      <c r="C745" s="72">
        <v>45</v>
      </c>
      <c r="D745" s="73">
        <f>QUOTIENT(454590122301,1000000)</f>
        <v>454590</v>
      </c>
      <c r="E745" s="73">
        <f>QUOTIENT(325307699955,1000000)</f>
        <v>325307</v>
      </c>
      <c r="F745" s="74">
        <f>QUOTIENT(10920386239,1000000)</f>
        <v>10920</v>
      </c>
      <c r="G745" s="74">
        <f>QUOTIENT(103654871949,1000000)</f>
        <v>103654</v>
      </c>
      <c r="H745" s="75">
        <f>QUOTIENT(14707164158,1000000)</f>
        <v>14707</v>
      </c>
    </row>
    <row r="746" spans="1:8" ht="21.75" customHeight="1" x14ac:dyDescent="0.15">
      <c r="A746" s="30" t="s">
        <v>30</v>
      </c>
      <c r="B746" s="78" t="s">
        <v>29</v>
      </c>
      <c r="C746" s="79">
        <v>27</v>
      </c>
      <c r="D746" s="80">
        <f>QUOTIENT(141096977743,1000000)</f>
        <v>141096</v>
      </c>
      <c r="E746" s="80">
        <f>QUOTIENT(126476898826,1000000)</f>
        <v>126476</v>
      </c>
      <c r="F746" s="81">
        <f>QUOTIENT(1614849346,1000000)</f>
        <v>1614</v>
      </c>
      <c r="G746" s="81">
        <f>QUOTIENT(83507000,1000000)</f>
        <v>83</v>
      </c>
      <c r="H746" s="82">
        <f>QUOTIENT(12921722570,1000000)</f>
        <v>12921</v>
      </c>
    </row>
    <row r="747" spans="1:8" ht="21.75" customHeight="1" x14ac:dyDescent="0.15">
      <c r="A747" s="252" t="s">
        <v>28</v>
      </c>
      <c r="B747" s="17" t="s">
        <v>27</v>
      </c>
      <c r="C747" s="16">
        <v>3451</v>
      </c>
      <c r="D747" s="83">
        <f>QUOTIENT(65047128570000,1000000)</f>
        <v>65047128</v>
      </c>
      <c r="E747" s="83">
        <f>QUOTIENT(10373197990000,1000000)</f>
        <v>10373197</v>
      </c>
      <c r="F747" s="84">
        <f>QUOTIENT(29449106500000,1000000)</f>
        <v>29449106</v>
      </c>
      <c r="G747" s="84">
        <f>QUOTIENT(25111499050000,1000000)</f>
        <v>25111499</v>
      </c>
      <c r="H747" s="85">
        <f>QUOTIENT(113325030000,1000000)</f>
        <v>113325</v>
      </c>
    </row>
    <row r="748" spans="1:8" ht="21.75" customHeight="1" x14ac:dyDescent="0.15">
      <c r="A748" s="250"/>
      <c r="B748" s="23" t="s">
        <v>26</v>
      </c>
      <c r="C748" s="22">
        <v>3559</v>
      </c>
      <c r="D748" s="86">
        <f>QUOTIENT(15338492374000,1000000)</f>
        <v>15338492</v>
      </c>
      <c r="E748" s="86">
        <f>QUOTIENT(486016836000,1000000)</f>
        <v>486016</v>
      </c>
      <c r="F748" s="87">
        <f>QUOTIENT(10006274234000,1000000)</f>
        <v>10006274</v>
      </c>
      <c r="G748" s="87">
        <f>QUOTIENT(4835264304000,1000000)</f>
        <v>4835264</v>
      </c>
      <c r="H748" s="88">
        <f>QUOTIENT(10937000000,1000000)</f>
        <v>10937</v>
      </c>
    </row>
    <row r="749" spans="1:8" ht="21.75" customHeight="1" x14ac:dyDescent="0.15">
      <c r="A749" s="250"/>
      <c r="B749" s="24" t="s">
        <v>25</v>
      </c>
      <c r="C749" s="22">
        <v>552</v>
      </c>
      <c r="D749" s="86">
        <f>QUOTIENT(20933900000000,1000000)</f>
        <v>20933900</v>
      </c>
      <c r="E749" s="86">
        <f>QUOTIENT(1588185400000,1000000)</f>
        <v>1588185</v>
      </c>
      <c r="F749" s="87">
        <f>QUOTIENT(8762592600000,1000000)</f>
        <v>8762592</v>
      </c>
      <c r="G749" s="87">
        <f>QUOTIENT(10529317000000,1000000)</f>
        <v>10529317</v>
      </c>
      <c r="H749" s="88">
        <f>QUOTIENT(53805000000,1000000)</f>
        <v>53805</v>
      </c>
    </row>
    <row r="750" spans="1:8" ht="21.75" customHeight="1" x14ac:dyDescent="0.15">
      <c r="A750" s="250"/>
      <c r="B750" s="23" t="s">
        <v>24</v>
      </c>
      <c r="C750" s="22">
        <v>2117</v>
      </c>
      <c r="D750" s="86">
        <f>QUOTIENT(56771000000000,1000000)</f>
        <v>56771000</v>
      </c>
      <c r="E750" s="86">
        <f>QUOTIENT(7653775600000,1000000)</f>
        <v>7653775</v>
      </c>
      <c r="F750" s="87">
        <f>QUOTIENT(19557301400000,1000000)</f>
        <v>19557301</v>
      </c>
      <c r="G750" s="87">
        <f>QUOTIENT(29553573000000,1000000)</f>
        <v>29553573</v>
      </c>
      <c r="H750" s="88">
        <f>QUOTIENT(6350000000,1000000)</f>
        <v>6350</v>
      </c>
    </row>
    <row r="751" spans="1:8" ht="21.75" customHeight="1" x14ac:dyDescent="0.15">
      <c r="A751" s="250"/>
      <c r="B751" s="23" t="s">
        <v>23</v>
      </c>
      <c r="C751" s="22">
        <v>500</v>
      </c>
      <c r="D751" s="86">
        <f>QUOTIENT(5097904000000,1000000)</f>
        <v>5097904</v>
      </c>
      <c r="E751" s="86">
        <f>QUOTIENT(304336400000,1000000)</f>
        <v>304336</v>
      </c>
      <c r="F751" s="87">
        <f>QUOTIENT(88708100000,1000000)</f>
        <v>88708</v>
      </c>
      <c r="G751" s="87">
        <f>QUOTIENT(4704859500000,1000000)</f>
        <v>4704859</v>
      </c>
      <c r="H751" s="88">
        <f>QUOTIENT(0,1000000)</f>
        <v>0</v>
      </c>
    </row>
    <row r="752" spans="1:8" ht="21.75" customHeight="1" x14ac:dyDescent="0.15">
      <c r="A752" s="250"/>
      <c r="B752" s="23" t="s">
        <v>22</v>
      </c>
      <c r="C752" s="22">
        <v>165</v>
      </c>
      <c r="D752" s="86">
        <f>QUOTIENT(1322300000000,1000000)</f>
        <v>1322300</v>
      </c>
      <c r="E752" s="86">
        <f>QUOTIENT(331020000000,1000000)</f>
        <v>331020</v>
      </c>
      <c r="F752" s="87">
        <f>QUOTIENT(477000000000,1000000)</f>
        <v>477000</v>
      </c>
      <c r="G752" s="87">
        <f>QUOTIENT(514280000000,1000000)</f>
        <v>514280</v>
      </c>
      <c r="H752" s="88">
        <f>QUOTIENT(0,1000000)</f>
        <v>0</v>
      </c>
    </row>
    <row r="753" spans="1:8" ht="21.75" customHeight="1" x14ac:dyDescent="0.15">
      <c r="A753" s="250"/>
      <c r="B753" s="23" t="s">
        <v>21</v>
      </c>
      <c r="C753" s="22">
        <v>21</v>
      </c>
      <c r="D753" s="86">
        <f>QUOTIENT(133500000000,1000000)</f>
        <v>133500</v>
      </c>
      <c r="E753" s="86">
        <f>QUOTIENT(110493000000,1000000)</f>
        <v>110493</v>
      </c>
      <c r="F753" s="87">
        <f>QUOTIENT(13145000000,1000000)</f>
        <v>13145</v>
      </c>
      <c r="G753" s="87">
        <f>QUOTIENT(9862000000,1000000)</f>
        <v>9862</v>
      </c>
      <c r="H753" s="88">
        <f>QUOTIENT(0,1000000)</f>
        <v>0</v>
      </c>
    </row>
    <row r="754" spans="1:8" ht="21.75" customHeight="1" x14ac:dyDescent="0.15">
      <c r="A754" s="250"/>
      <c r="B754" s="23" t="s">
        <v>20</v>
      </c>
      <c r="C754" s="22">
        <v>0</v>
      </c>
      <c r="D754" s="86">
        <f>QUOTIENT(0,1000000)</f>
        <v>0</v>
      </c>
      <c r="E754" s="86">
        <f>QUOTIENT(0,1000000)</f>
        <v>0</v>
      </c>
      <c r="F754" s="87">
        <f>QUOTIENT(0,1000000)</f>
        <v>0</v>
      </c>
      <c r="G754" s="87">
        <f>QUOTIENT(0,1000000)</f>
        <v>0</v>
      </c>
      <c r="H754" s="88">
        <f>QUOTIENT(0,1000000)</f>
        <v>0</v>
      </c>
    </row>
    <row r="755" spans="1:8" ht="21.75" customHeight="1" x14ac:dyDescent="0.15">
      <c r="A755" s="250"/>
      <c r="B755" s="23" t="s">
        <v>19</v>
      </c>
      <c r="C755" s="22">
        <v>209</v>
      </c>
      <c r="D755" s="86">
        <f>QUOTIENT(5119710000000,1000000)</f>
        <v>5119710</v>
      </c>
      <c r="E755" s="86">
        <f>QUOTIENT(593720000000,1000000)</f>
        <v>593720</v>
      </c>
      <c r="F755" s="87">
        <f>QUOTIENT(2560290000000,1000000)</f>
        <v>2560290</v>
      </c>
      <c r="G755" s="87">
        <f>QUOTIENT(1926800000000,1000000)</f>
        <v>1926800</v>
      </c>
      <c r="H755" s="88">
        <f>QUOTIENT(38900000000,1000000)</f>
        <v>38900</v>
      </c>
    </row>
    <row r="756" spans="1:8" ht="21.75" customHeight="1" x14ac:dyDescent="0.15">
      <c r="A756" s="250"/>
      <c r="B756" s="23" t="s">
        <v>18</v>
      </c>
      <c r="C756" s="22">
        <v>4115</v>
      </c>
      <c r="D756" s="86">
        <f>QUOTIENT(84992230000000,1000000)</f>
        <v>84992230</v>
      </c>
      <c r="E756" s="86">
        <f>QUOTIENT(20471523300000,1000000)</f>
        <v>20471523</v>
      </c>
      <c r="F756" s="87">
        <f>QUOTIENT(29875632200000,1000000)</f>
        <v>29875632</v>
      </c>
      <c r="G756" s="87">
        <f>QUOTIENT(33988843300000,1000000)</f>
        <v>33988843</v>
      </c>
      <c r="H756" s="88">
        <f>QUOTIENT(656231200000,1000000)</f>
        <v>656231</v>
      </c>
    </row>
    <row r="757" spans="1:8" ht="21.75" customHeight="1" x14ac:dyDescent="0.15">
      <c r="A757" s="250"/>
      <c r="B757" s="23" t="s">
        <v>17</v>
      </c>
      <c r="C757" s="22">
        <v>778</v>
      </c>
      <c r="D757" s="86">
        <f>QUOTIENT(17706460000000,1000000)</f>
        <v>17706460</v>
      </c>
      <c r="E757" s="86">
        <f>QUOTIENT(4257273900000,1000000)</f>
        <v>4257273</v>
      </c>
      <c r="F757" s="87">
        <f>QUOTIENT(6162331100000,1000000)</f>
        <v>6162331</v>
      </c>
      <c r="G757" s="87">
        <f>QUOTIENT(7227063800000,1000000)</f>
        <v>7227063</v>
      </c>
      <c r="H757" s="88">
        <f>QUOTIENT(59791200000,1000000)</f>
        <v>59791</v>
      </c>
    </row>
    <row r="758" spans="1:8" ht="21.75" customHeight="1" x14ac:dyDescent="0.15">
      <c r="A758" s="250"/>
      <c r="B758" s="23" t="s">
        <v>16</v>
      </c>
      <c r="C758" s="22">
        <v>64108</v>
      </c>
      <c r="D758" s="86">
        <f>QUOTIENT(15779522594000,1000000)</f>
        <v>15779522</v>
      </c>
      <c r="E758" s="86">
        <f>QUOTIENT(4353560970000,1000000)</f>
        <v>4353560</v>
      </c>
      <c r="F758" s="87">
        <f>QUOTIENT(4902838814000,1000000)</f>
        <v>4902838</v>
      </c>
      <c r="G758" s="87">
        <f>QUOTIENT(6494251810000,1000000)</f>
        <v>6494251</v>
      </c>
      <c r="H758" s="88">
        <f>QUOTIENT(28871000000,1000000)</f>
        <v>28871</v>
      </c>
    </row>
    <row r="759" spans="1:8" ht="21.75" customHeight="1" x14ac:dyDescent="0.15">
      <c r="A759" s="250"/>
      <c r="B759" s="23" t="s">
        <v>15</v>
      </c>
      <c r="C759" s="22">
        <v>472</v>
      </c>
      <c r="D759" s="86">
        <f>QUOTIENT(3911536094000,1000000)</f>
        <v>3911536</v>
      </c>
      <c r="E759" s="86">
        <f>QUOTIENT(3320561370000,1000000)</f>
        <v>3320561</v>
      </c>
      <c r="F759" s="87">
        <f>QUOTIENT(501330784000,1000000)</f>
        <v>501330</v>
      </c>
      <c r="G759" s="87">
        <f>QUOTIENT(89398940000,1000000)</f>
        <v>89398</v>
      </c>
      <c r="H759" s="88">
        <f>QUOTIENT(245000000,1000000)</f>
        <v>245</v>
      </c>
    </row>
    <row r="760" spans="1:8" ht="21.75" customHeight="1" x14ac:dyDescent="0.15">
      <c r="A760" s="250"/>
      <c r="B760" s="23" t="s">
        <v>14</v>
      </c>
      <c r="C760" s="22">
        <v>32</v>
      </c>
      <c r="D760" s="86">
        <f>QUOTIENT(94700000000,1000000)</f>
        <v>94700</v>
      </c>
      <c r="E760" s="86">
        <f>QUOTIENT(17400000000,1000000)</f>
        <v>17400</v>
      </c>
      <c r="F760" s="87">
        <f>QUOTIENT(54400000000,1000000)</f>
        <v>54400</v>
      </c>
      <c r="G760" s="87">
        <f>QUOTIENT(22900000000,1000000)</f>
        <v>22900</v>
      </c>
      <c r="H760" s="88">
        <f>QUOTIENT(0,1000000)</f>
        <v>0</v>
      </c>
    </row>
    <row r="761" spans="1:8" ht="21.75" customHeight="1" x14ac:dyDescent="0.15">
      <c r="A761" s="250"/>
      <c r="B761" s="23" t="s">
        <v>13</v>
      </c>
      <c r="C761" s="22">
        <v>801</v>
      </c>
      <c r="D761" s="86">
        <f>QUOTIENT(3129432293000,1000000)</f>
        <v>3129432</v>
      </c>
      <c r="E761" s="86">
        <f>QUOTIENT(186781780000,1000000)</f>
        <v>186781</v>
      </c>
      <c r="F761" s="87">
        <f>QUOTIENT(1647397123000,1000000)</f>
        <v>1647397</v>
      </c>
      <c r="G761" s="87">
        <f>QUOTIENT(1295253390000,1000000)</f>
        <v>1295253</v>
      </c>
      <c r="H761" s="88">
        <f>QUOTIENT(0,1000000)</f>
        <v>0</v>
      </c>
    </row>
    <row r="762" spans="1:8" ht="21.75" customHeight="1" x14ac:dyDescent="0.15">
      <c r="A762" s="250"/>
      <c r="B762" s="23" t="s">
        <v>12</v>
      </c>
      <c r="C762" s="22">
        <v>275</v>
      </c>
      <c r="D762" s="86">
        <f>QUOTIENT(7071000000000,1000000)</f>
        <v>7071000</v>
      </c>
      <c r="E762" s="86">
        <f>QUOTIENT(1059668000000,1000000)</f>
        <v>1059668</v>
      </c>
      <c r="F762" s="87">
        <f>QUOTIENT(2221020000000,1000000)</f>
        <v>2221020</v>
      </c>
      <c r="G762" s="87">
        <f>QUOTIENT(3762812000000,1000000)</f>
        <v>3762812</v>
      </c>
      <c r="H762" s="88">
        <f>QUOTIENT(27500000000,1000000)</f>
        <v>27500</v>
      </c>
    </row>
    <row r="763" spans="1:8" ht="21.75" customHeight="1" x14ac:dyDescent="0.15">
      <c r="A763" s="250"/>
      <c r="B763" s="23" t="s">
        <v>11</v>
      </c>
      <c r="C763" s="22">
        <v>69</v>
      </c>
      <c r="D763" s="86">
        <f>QUOTIENT(1258350000000,1000000)</f>
        <v>1258350</v>
      </c>
      <c r="E763" s="86">
        <f>QUOTIENT(130200000000,1000000)</f>
        <v>130200</v>
      </c>
      <c r="F763" s="87">
        <f>QUOTIENT(549750000000,1000000)</f>
        <v>549750</v>
      </c>
      <c r="G763" s="87">
        <f>QUOTIENT(578400000000,1000000)</f>
        <v>578400</v>
      </c>
      <c r="H763" s="88">
        <f>QUOTIENT(0,1000000)</f>
        <v>0</v>
      </c>
    </row>
    <row r="764" spans="1:8" ht="21.75" customHeight="1" x14ac:dyDescent="0.15">
      <c r="A764" s="250"/>
      <c r="B764" s="23" t="s">
        <v>10</v>
      </c>
      <c r="C764" s="22">
        <v>0</v>
      </c>
      <c r="D764" s="86">
        <f t="shared" ref="D764:G766" si="21">QUOTIENT(0,1000000)</f>
        <v>0</v>
      </c>
      <c r="E764" s="86">
        <f t="shared" si="21"/>
        <v>0</v>
      </c>
      <c r="F764" s="87">
        <f t="shared" si="21"/>
        <v>0</v>
      </c>
      <c r="G764" s="87">
        <f t="shared" si="21"/>
        <v>0</v>
      </c>
      <c r="H764" s="88">
        <f>QUOTIENT(0,1000000)</f>
        <v>0</v>
      </c>
    </row>
    <row r="765" spans="1:8" ht="21.75" customHeight="1" x14ac:dyDescent="0.15">
      <c r="A765" s="250"/>
      <c r="B765" s="23" t="s">
        <v>9</v>
      </c>
      <c r="C765" s="22">
        <v>0</v>
      </c>
      <c r="D765" s="86">
        <f t="shared" si="21"/>
        <v>0</v>
      </c>
      <c r="E765" s="86">
        <f t="shared" si="21"/>
        <v>0</v>
      </c>
      <c r="F765" s="87">
        <f t="shared" si="21"/>
        <v>0</v>
      </c>
      <c r="G765" s="87">
        <f t="shared" si="21"/>
        <v>0</v>
      </c>
      <c r="H765" s="88">
        <f>QUOTIENT(0,1000000)</f>
        <v>0</v>
      </c>
    </row>
    <row r="766" spans="1:8" ht="21.75" customHeight="1" x14ac:dyDescent="0.15">
      <c r="A766" s="250"/>
      <c r="B766" s="23" t="s">
        <v>8</v>
      </c>
      <c r="C766" s="22">
        <v>0</v>
      </c>
      <c r="D766" s="86">
        <f t="shared" si="21"/>
        <v>0</v>
      </c>
      <c r="E766" s="86">
        <f t="shared" si="21"/>
        <v>0</v>
      </c>
      <c r="F766" s="87">
        <f t="shared" si="21"/>
        <v>0</v>
      </c>
      <c r="G766" s="87">
        <f t="shared" si="21"/>
        <v>0</v>
      </c>
      <c r="H766" s="88">
        <f>QUOTIENT(0,1000000)</f>
        <v>0</v>
      </c>
    </row>
    <row r="767" spans="1:8" ht="21.75" customHeight="1" x14ac:dyDescent="0.15">
      <c r="A767" s="251"/>
      <c r="B767" s="23" t="s">
        <v>7</v>
      </c>
      <c r="C767" s="22">
        <v>66</v>
      </c>
      <c r="D767" s="86">
        <f>QUOTIENT(5710000000,1000000)</f>
        <v>5710</v>
      </c>
      <c r="E767" s="86">
        <f>QUOTIENT(0,1000000)</f>
        <v>0</v>
      </c>
      <c r="F767" s="87">
        <f>QUOTIENT(0,1000000)</f>
        <v>0</v>
      </c>
      <c r="G767" s="87">
        <f>QUOTIENT(5710000000,1000000)</f>
        <v>5710</v>
      </c>
      <c r="H767" s="88">
        <f>QUOTIENT(0,1000000)</f>
        <v>0</v>
      </c>
    </row>
    <row r="768" spans="1:8" ht="21.75" customHeight="1" x14ac:dyDescent="0.15">
      <c r="A768" s="18" t="s">
        <v>6</v>
      </c>
      <c r="B768" s="17" t="s">
        <v>5</v>
      </c>
      <c r="C768" s="16">
        <v>3307</v>
      </c>
      <c r="D768" s="80">
        <v>26101120</v>
      </c>
      <c r="E768" s="80">
        <v>869500</v>
      </c>
      <c r="F768" s="81">
        <v>11627932</v>
      </c>
      <c r="G768" s="81">
        <v>10925559</v>
      </c>
      <c r="H768" s="82">
        <v>2678129</v>
      </c>
    </row>
    <row r="769" spans="1:8" ht="21.75" customHeight="1" x14ac:dyDescent="0.15">
      <c r="A769" s="252" t="s">
        <v>4</v>
      </c>
      <c r="B769" s="12" t="s">
        <v>3</v>
      </c>
      <c r="C769" s="11">
        <v>5655</v>
      </c>
      <c r="D769" s="89">
        <f>QUOTIENT(101732977850695,1000000)</f>
        <v>101732977</v>
      </c>
      <c r="E769" s="89">
        <f>QUOTIENT(63466039178821,1000000)</f>
        <v>63466039</v>
      </c>
      <c r="F769" s="90">
        <f>QUOTIENT(17621697025303,1000000)</f>
        <v>17621697</v>
      </c>
      <c r="G769" s="90">
        <f>QUOTIENT(12727320290276,1000000)</f>
        <v>12727320</v>
      </c>
      <c r="H769" s="91">
        <f>QUOTIENT(7917921356295,1000000)</f>
        <v>7917921</v>
      </c>
    </row>
    <row r="770" spans="1:8" ht="21.75" customHeight="1" thickBot="1" x14ac:dyDescent="0.2">
      <c r="A770" s="253"/>
      <c r="B770" s="7" t="s">
        <v>1153</v>
      </c>
      <c r="C770" s="6">
        <v>8427</v>
      </c>
      <c r="D770" s="92" t="s">
        <v>2178</v>
      </c>
      <c r="E770" s="92" t="s">
        <v>2178</v>
      </c>
      <c r="F770" s="92" t="s">
        <v>2178</v>
      </c>
      <c r="G770" s="92" t="s">
        <v>2178</v>
      </c>
      <c r="H770" s="93" t="s">
        <v>2178</v>
      </c>
    </row>
    <row r="771" spans="1:8" ht="18" customHeight="1" x14ac:dyDescent="0.15">
      <c r="A771" s="3" t="s">
        <v>1155</v>
      </c>
      <c r="B771" s="2"/>
      <c r="C771" s="2"/>
      <c r="D771" s="2"/>
      <c r="E771" s="2"/>
      <c r="F771" s="2"/>
      <c r="G771" s="2"/>
      <c r="H771" s="2"/>
    </row>
    <row r="772" spans="1:8" ht="18" customHeight="1" x14ac:dyDescent="0.15">
      <c r="A772" s="3" t="s">
        <v>2587</v>
      </c>
      <c r="B772" s="2"/>
      <c r="C772" s="2"/>
      <c r="D772" s="2"/>
      <c r="E772" s="2"/>
      <c r="F772" s="2"/>
      <c r="G772" s="2"/>
      <c r="H772" s="2"/>
    </row>
    <row r="773" spans="1:8" ht="18" customHeight="1" x14ac:dyDescent="0.15">
      <c r="A773" s="3" t="s">
        <v>1156</v>
      </c>
      <c r="B773" s="2"/>
      <c r="C773" s="2"/>
      <c r="D773" s="2"/>
      <c r="E773" s="2"/>
      <c r="F773" s="2"/>
      <c r="G773" s="2"/>
      <c r="H773" s="2"/>
    </row>
    <row r="774" spans="1:8" ht="18" customHeight="1" x14ac:dyDescent="0.15">
      <c r="A774" s="3" t="s">
        <v>2517</v>
      </c>
      <c r="B774" s="2"/>
      <c r="C774" s="2"/>
      <c r="D774" s="2"/>
      <c r="E774" s="2"/>
      <c r="F774" s="2"/>
      <c r="G774" s="2"/>
      <c r="H774" s="2"/>
    </row>
    <row r="775" spans="1:8" ht="24" x14ac:dyDescent="0.15">
      <c r="A775" s="230" t="s">
        <v>2514</v>
      </c>
      <c r="B775" s="230"/>
      <c r="C775" s="230"/>
      <c r="D775" s="230"/>
      <c r="E775" s="230"/>
      <c r="F775" s="230"/>
      <c r="G775" s="230"/>
      <c r="H775" s="230"/>
    </row>
    <row r="776" spans="1:8" ht="18" customHeight="1" x14ac:dyDescent="0.15">
      <c r="A776" s="231"/>
      <c r="B776" s="231"/>
      <c r="C776" s="231"/>
      <c r="D776" s="231"/>
      <c r="E776" s="231"/>
      <c r="F776" s="231"/>
      <c r="G776" s="231"/>
      <c r="H776" s="231"/>
    </row>
    <row r="777" spans="1:8" thickBot="1" x14ac:dyDescent="0.2">
      <c r="A777" s="58" t="s">
        <v>48</v>
      </c>
    </row>
    <row r="778" spans="1:8" ht="18" customHeight="1" x14ac:dyDescent="0.15">
      <c r="A778" s="232" t="s">
        <v>47</v>
      </c>
      <c r="B778" s="235" t="s">
        <v>46</v>
      </c>
      <c r="C778" s="238" t="s">
        <v>45</v>
      </c>
      <c r="D778" s="241" t="s">
        <v>44</v>
      </c>
      <c r="E778" s="158"/>
      <c r="F778" s="56"/>
      <c r="G778" s="56"/>
      <c r="H778" s="55"/>
    </row>
    <row r="779" spans="1:8" ht="18" customHeight="1" x14ac:dyDescent="0.15">
      <c r="A779" s="233"/>
      <c r="B779" s="236"/>
      <c r="C779" s="239"/>
      <c r="D779" s="242"/>
      <c r="E779" s="244" t="s">
        <v>43</v>
      </c>
      <c r="F779" s="246" t="s">
        <v>42</v>
      </c>
      <c r="G779" s="246" t="s">
        <v>41</v>
      </c>
      <c r="H779" s="248" t="s">
        <v>40</v>
      </c>
    </row>
    <row r="780" spans="1:8" ht="18" customHeight="1" thickBot="1" x14ac:dyDescent="0.2">
      <c r="A780" s="234"/>
      <c r="B780" s="237"/>
      <c r="C780" s="240"/>
      <c r="D780" s="243"/>
      <c r="E780" s="245"/>
      <c r="F780" s="247"/>
      <c r="G780" s="247"/>
      <c r="H780" s="249"/>
    </row>
    <row r="781" spans="1:8" s="60" customFormat="1" ht="18" customHeight="1" thickTop="1" x14ac:dyDescent="0.15">
      <c r="A781" s="159"/>
      <c r="B781" s="160"/>
      <c r="C781" s="52"/>
      <c r="D781" s="51" t="s">
        <v>39</v>
      </c>
      <c r="E781" s="50" t="s">
        <v>39</v>
      </c>
      <c r="F781" s="49" t="s">
        <v>39</v>
      </c>
      <c r="G781" s="49" t="s">
        <v>39</v>
      </c>
      <c r="H781" s="48" t="s">
        <v>39</v>
      </c>
    </row>
    <row r="782" spans="1:8" ht="21.75" customHeight="1" x14ac:dyDescent="0.15">
      <c r="A782" s="250" t="s">
        <v>38</v>
      </c>
      <c r="B782" s="61" t="s">
        <v>37</v>
      </c>
      <c r="C782" s="62">
        <v>3936</v>
      </c>
      <c r="D782" s="63">
        <f>QUOTIENT(686517824011469,1000000)</f>
        <v>686517824</v>
      </c>
      <c r="E782" s="63">
        <f>QUOTIENT(258534436658178,1000000)</f>
        <v>258534436</v>
      </c>
      <c r="F782" s="64">
        <f>QUOTIENT(207023900347992,1000000)</f>
        <v>207023900</v>
      </c>
      <c r="G782" s="64">
        <f>QUOTIENT(210561654318252,1000000)</f>
        <v>210561654</v>
      </c>
      <c r="H782" s="65">
        <f>QUOTIENT(10397832687046,1000000)</f>
        <v>10397832</v>
      </c>
    </row>
    <row r="783" spans="1:8" ht="21.75" customHeight="1" x14ac:dyDescent="0.15">
      <c r="A783" s="250"/>
      <c r="B783" s="66" t="s">
        <v>36</v>
      </c>
      <c r="C783" s="67">
        <v>15</v>
      </c>
      <c r="D783" s="68">
        <f>QUOTIENT(15747750500,1000000)</f>
        <v>15747</v>
      </c>
      <c r="E783" s="68">
        <f>QUOTIENT(11044344000,1000000)</f>
        <v>11044</v>
      </c>
      <c r="F783" s="69">
        <f>QUOTIENT(4376350000,1000000)</f>
        <v>4376</v>
      </c>
      <c r="G783" s="69">
        <f>QUOTIENT(326063000,1000000)</f>
        <v>326</v>
      </c>
      <c r="H783" s="115">
        <f>QUOTIENT(993500,1000000)</f>
        <v>0</v>
      </c>
    </row>
    <row r="784" spans="1:8" ht="21.75" customHeight="1" x14ac:dyDescent="0.15">
      <c r="A784" s="250"/>
      <c r="B784" s="66" t="s">
        <v>35</v>
      </c>
      <c r="C784" s="67">
        <v>118</v>
      </c>
      <c r="D784" s="68">
        <f>QUOTIENT(0,1000000)</f>
        <v>0</v>
      </c>
      <c r="E784" s="68">
        <f>QUOTIENT(0,1000000)</f>
        <v>0</v>
      </c>
      <c r="F784" s="69">
        <f>QUOTIENT(0,1000000)</f>
        <v>0</v>
      </c>
      <c r="G784" s="69">
        <f>QUOTIENT(0,1000000)</f>
        <v>0</v>
      </c>
      <c r="H784" s="70">
        <f>QUOTIENT(0,1000000)</f>
        <v>0</v>
      </c>
    </row>
    <row r="785" spans="1:8" ht="21.75" customHeight="1" x14ac:dyDescent="0.15">
      <c r="A785" s="250"/>
      <c r="B785" s="71" t="s">
        <v>34</v>
      </c>
      <c r="C785" s="72">
        <v>1</v>
      </c>
      <c r="D785" s="73">
        <f>QUOTIENT(183500320200,1000000)</f>
        <v>183500</v>
      </c>
      <c r="E785" s="73">
        <f>QUOTIENT(138227518100,1000000)</f>
        <v>138227</v>
      </c>
      <c r="F785" s="74">
        <f>QUOTIENT(9041294500,1000000)</f>
        <v>9041</v>
      </c>
      <c r="G785" s="74">
        <f>QUOTIENT(33515103200,1000000)</f>
        <v>33515</v>
      </c>
      <c r="H785" s="75">
        <f>QUOTIENT(2716404400,1000000)</f>
        <v>2716</v>
      </c>
    </row>
    <row r="786" spans="1:8" ht="21.75" customHeight="1" x14ac:dyDescent="0.15">
      <c r="A786" s="250"/>
      <c r="B786" s="66" t="s">
        <v>33</v>
      </c>
      <c r="C786" s="67">
        <v>67</v>
      </c>
      <c r="D786" s="68">
        <f>QUOTIENT(16310704642900,1000000)</f>
        <v>16310704</v>
      </c>
      <c r="E786" s="68">
        <f>QUOTIENT(3914714144700,1000000)</f>
        <v>3914714</v>
      </c>
      <c r="F786" s="69">
        <f>QUOTIENT(4793951172000,1000000)</f>
        <v>4793951</v>
      </c>
      <c r="G786" s="69">
        <f>QUOTIENT(7461039186750,1000000)</f>
        <v>7461039</v>
      </c>
      <c r="H786" s="70">
        <f>QUOTIENT(141000139450,1000000)</f>
        <v>141000</v>
      </c>
    </row>
    <row r="787" spans="1:8" ht="21.75" customHeight="1" x14ac:dyDescent="0.15">
      <c r="A787" s="250"/>
      <c r="B787" s="76" t="s">
        <v>32</v>
      </c>
      <c r="C787" s="67">
        <v>238</v>
      </c>
      <c r="D787" s="68">
        <f>QUOTIENT(57881015513084,1000000)</f>
        <v>57881015</v>
      </c>
      <c r="E787" s="68">
        <f>QUOTIENT(4853635351552,1000000)</f>
        <v>4853635</v>
      </c>
      <c r="F787" s="69">
        <f>QUOTIENT(1539893381923,1000000)</f>
        <v>1539893</v>
      </c>
      <c r="G787" s="69">
        <f>QUOTIENT(51254342502616,1000000)</f>
        <v>51254342</v>
      </c>
      <c r="H787" s="70">
        <f>QUOTIENT(233144276993,1000000)</f>
        <v>233144</v>
      </c>
    </row>
    <row r="788" spans="1:8" ht="21.75" customHeight="1" x14ac:dyDescent="0.15">
      <c r="A788" s="251"/>
      <c r="B788" s="77" t="s">
        <v>31</v>
      </c>
      <c r="C788" s="72">
        <v>45</v>
      </c>
      <c r="D788" s="73">
        <f>QUOTIENT(426843591950,1000000)</f>
        <v>426843</v>
      </c>
      <c r="E788" s="73">
        <f>QUOTIENT(303844564144,1000000)</f>
        <v>303844</v>
      </c>
      <c r="F788" s="74">
        <f>QUOTIENT(7421475570,1000000)</f>
        <v>7421</v>
      </c>
      <c r="G788" s="74">
        <f>QUOTIENT(100868805250,1000000)</f>
        <v>100868</v>
      </c>
      <c r="H788" s="75">
        <f>QUOTIENT(14708746986,1000000)</f>
        <v>14708</v>
      </c>
    </row>
    <row r="789" spans="1:8" ht="21.75" customHeight="1" x14ac:dyDescent="0.15">
      <c r="A789" s="30" t="s">
        <v>30</v>
      </c>
      <c r="B789" s="78" t="s">
        <v>29</v>
      </c>
      <c r="C789" s="79">
        <v>27</v>
      </c>
      <c r="D789" s="80">
        <f>QUOTIENT(134576406510,1000000)</f>
        <v>134576</v>
      </c>
      <c r="E789" s="80">
        <f>QUOTIENT(120817833896,1000000)</f>
        <v>120817</v>
      </c>
      <c r="F789" s="81">
        <f>QUOTIENT(1396355392,1000000)</f>
        <v>1396</v>
      </c>
      <c r="G789" s="81">
        <f>QUOTIENT(82860375,1000000)</f>
        <v>82</v>
      </c>
      <c r="H789" s="82">
        <f>QUOTIENT(12279356847,1000000)</f>
        <v>12279</v>
      </c>
    </row>
    <row r="790" spans="1:8" ht="21.75" customHeight="1" x14ac:dyDescent="0.15">
      <c r="A790" s="252" t="s">
        <v>28</v>
      </c>
      <c r="B790" s="17" t="s">
        <v>27</v>
      </c>
      <c r="C790" s="16">
        <v>3431</v>
      </c>
      <c r="D790" s="83">
        <f>QUOTIENT(64891978570000,1000000)</f>
        <v>64891978</v>
      </c>
      <c r="E790" s="83">
        <f>QUOTIENT(10241228810000,1000000)</f>
        <v>10241228</v>
      </c>
      <c r="F790" s="84">
        <f>QUOTIENT(29870970360000,1000000)</f>
        <v>29870970</v>
      </c>
      <c r="G790" s="84">
        <f>QUOTIENT(24669952370000,1000000)</f>
        <v>24669952</v>
      </c>
      <c r="H790" s="85">
        <f>QUOTIENT(109827030000,1000000)</f>
        <v>109827</v>
      </c>
    </row>
    <row r="791" spans="1:8" ht="21.75" customHeight="1" x14ac:dyDescent="0.15">
      <c r="A791" s="250"/>
      <c r="B791" s="23" t="s">
        <v>26</v>
      </c>
      <c r="C791" s="22">
        <v>3562</v>
      </c>
      <c r="D791" s="86">
        <f>QUOTIENT(15377154214000,1000000)</f>
        <v>15377154</v>
      </c>
      <c r="E791" s="86">
        <f>QUOTIENT(492182036000,1000000)</f>
        <v>492182</v>
      </c>
      <c r="F791" s="87">
        <f>QUOTIENT(10085052234000,1000000)</f>
        <v>10085052</v>
      </c>
      <c r="G791" s="87">
        <f>QUOTIENT(4788982944000,1000000)</f>
        <v>4788982</v>
      </c>
      <c r="H791" s="88">
        <f>QUOTIENT(10937000000,1000000)</f>
        <v>10937</v>
      </c>
    </row>
    <row r="792" spans="1:8" ht="21.75" customHeight="1" x14ac:dyDescent="0.15">
      <c r="A792" s="250"/>
      <c r="B792" s="24" t="s">
        <v>25</v>
      </c>
      <c r="C792" s="22">
        <v>556</v>
      </c>
      <c r="D792" s="86">
        <f>QUOTIENT(21303900000000,1000000)</f>
        <v>21303900</v>
      </c>
      <c r="E792" s="86">
        <f>QUOTIENT(1594962800000,1000000)</f>
        <v>1594962</v>
      </c>
      <c r="F792" s="87">
        <f>QUOTIENT(9453831200000,1000000)</f>
        <v>9453831</v>
      </c>
      <c r="G792" s="87">
        <f>QUOTIENT(10204301000000,1000000)</f>
        <v>10204301</v>
      </c>
      <c r="H792" s="88">
        <f>QUOTIENT(50805000000,1000000)</f>
        <v>50805</v>
      </c>
    </row>
    <row r="793" spans="1:8" ht="21.75" customHeight="1" x14ac:dyDescent="0.15">
      <c r="A793" s="250"/>
      <c r="B793" s="23" t="s">
        <v>24</v>
      </c>
      <c r="C793" s="22">
        <v>2107</v>
      </c>
      <c r="D793" s="86">
        <f>QUOTIENT(57599200000000,1000000)</f>
        <v>57599200</v>
      </c>
      <c r="E793" s="86">
        <f>QUOTIENT(7573838400000,1000000)</f>
        <v>7573838</v>
      </c>
      <c r="F793" s="87">
        <f>QUOTIENT(19806368600000,1000000)</f>
        <v>19806368</v>
      </c>
      <c r="G793" s="87">
        <f>QUOTIENT(30212643000000,1000000)</f>
        <v>30212643</v>
      </c>
      <c r="H793" s="88">
        <f>QUOTIENT(6350000000,1000000)</f>
        <v>6350</v>
      </c>
    </row>
    <row r="794" spans="1:8" ht="21.75" customHeight="1" x14ac:dyDescent="0.15">
      <c r="A794" s="250"/>
      <c r="B794" s="23" t="s">
        <v>23</v>
      </c>
      <c r="C794" s="22">
        <v>499</v>
      </c>
      <c r="D794" s="86">
        <f>QUOTIENT(5099904000000,1000000)</f>
        <v>5099904</v>
      </c>
      <c r="E794" s="86">
        <f>QUOTIENT(320177200000,1000000)</f>
        <v>320177</v>
      </c>
      <c r="F794" s="87">
        <f>QUOTIENT(88708100000,1000000)</f>
        <v>88708</v>
      </c>
      <c r="G794" s="87">
        <f>QUOTIENT(4691018700000,1000000)</f>
        <v>4691018</v>
      </c>
      <c r="H794" s="88">
        <f>QUOTIENT(0,1000000)</f>
        <v>0</v>
      </c>
    </row>
    <row r="795" spans="1:8" ht="21.75" customHeight="1" x14ac:dyDescent="0.15">
      <c r="A795" s="250"/>
      <c r="B795" s="23" t="s">
        <v>22</v>
      </c>
      <c r="C795" s="22">
        <v>165</v>
      </c>
      <c r="D795" s="86">
        <f>QUOTIENT(1322300000000,1000000)</f>
        <v>1322300</v>
      </c>
      <c r="E795" s="86">
        <f>QUOTIENT(332320000000,1000000)</f>
        <v>332320</v>
      </c>
      <c r="F795" s="87">
        <f>QUOTIENT(476100000000,1000000)</f>
        <v>476100</v>
      </c>
      <c r="G795" s="87">
        <f>QUOTIENT(513880000000,1000000)</f>
        <v>513880</v>
      </c>
      <c r="H795" s="88">
        <f>QUOTIENT(0,1000000)</f>
        <v>0</v>
      </c>
    </row>
    <row r="796" spans="1:8" ht="21.75" customHeight="1" x14ac:dyDescent="0.15">
      <c r="A796" s="250"/>
      <c r="B796" s="23" t="s">
        <v>21</v>
      </c>
      <c r="C796" s="22">
        <v>21</v>
      </c>
      <c r="D796" s="86">
        <f>QUOTIENT(133500000000,1000000)</f>
        <v>133500</v>
      </c>
      <c r="E796" s="86">
        <f>QUOTIENT(110493000000,1000000)</f>
        <v>110493</v>
      </c>
      <c r="F796" s="87">
        <f>QUOTIENT(13245000000,1000000)</f>
        <v>13245</v>
      </c>
      <c r="G796" s="87">
        <f>QUOTIENT(9762000000,1000000)</f>
        <v>9762</v>
      </c>
      <c r="H796" s="88">
        <f>QUOTIENT(0,1000000)</f>
        <v>0</v>
      </c>
    </row>
    <row r="797" spans="1:8" ht="21.75" customHeight="1" x14ac:dyDescent="0.15">
      <c r="A797" s="250"/>
      <c r="B797" s="23" t="s">
        <v>20</v>
      </c>
      <c r="C797" s="22">
        <v>0</v>
      </c>
      <c r="D797" s="86">
        <f>QUOTIENT(0,1000000)</f>
        <v>0</v>
      </c>
      <c r="E797" s="86">
        <f>QUOTIENT(0,1000000)</f>
        <v>0</v>
      </c>
      <c r="F797" s="87">
        <f>QUOTIENT(0,1000000)</f>
        <v>0</v>
      </c>
      <c r="G797" s="87">
        <f>QUOTIENT(0,1000000)</f>
        <v>0</v>
      </c>
      <c r="H797" s="88">
        <f>QUOTIENT(0,1000000)</f>
        <v>0</v>
      </c>
    </row>
    <row r="798" spans="1:8" ht="21.75" customHeight="1" x14ac:dyDescent="0.15">
      <c r="A798" s="250"/>
      <c r="B798" s="23" t="s">
        <v>19</v>
      </c>
      <c r="C798" s="22">
        <v>210</v>
      </c>
      <c r="D798" s="86">
        <f>QUOTIENT(5154460000000,1000000)</f>
        <v>5154460</v>
      </c>
      <c r="E798" s="86">
        <f>QUOTIENT(599930000000,1000000)</f>
        <v>599930</v>
      </c>
      <c r="F798" s="87">
        <f>QUOTIENT(2572070000000,1000000)</f>
        <v>2572070</v>
      </c>
      <c r="G798" s="87">
        <f>QUOTIENT(1943560000000,1000000)</f>
        <v>1943560</v>
      </c>
      <c r="H798" s="88">
        <f>QUOTIENT(38900000000,1000000)</f>
        <v>38900</v>
      </c>
    </row>
    <row r="799" spans="1:8" ht="21.75" customHeight="1" x14ac:dyDescent="0.15">
      <c r="A799" s="250"/>
      <c r="B799" s="23" t="s">
        <v>18</v>
      </c>
      <c r="C799" s="22">
        <v>4093</v>
      </c>
      <c r="D799" s="86">
        <f>QUOTIENT(84151363000000,1000000)</f>
        <v>84151363</v>
      </c>
      <c r="E799" s="86">
        <f>QUOTIENT(20134464900000,1000000)</f>
        <v>20134464</v>
      </c>
      <c r="F799" s="87">
        <f>QUOTIENT(29901883800000,1000000)</f>
        <v>29901883</v>
      </c>
      <c r="G799" s="87">
        <f>QUOTIENT(33506573100000,1000000)</f>
        <v>33506573</v>
      </c>
      <c r="H799" s="88">
        <f>QUOTIENT(608441200000,1000000)</f>
        <v>608441</v>
      </c>
    </row>
    <row r="800" spans="1:8" ht="21.75" customHeight="1" x14ac:dyDescent="0.15">
      <c r="A800" s="250"/>
      <c r="B800" s="23" t="s">
        <v>17</v>
      </c>
      <c r="C800" s="22">
        <v>763</v>
      </c>
      <c r="D800" s="86">
        <f>QUOTIENT(17388560000000,1000000)</f>
        <v>17388560</v>
      </c>
      <c r="E800" s="86">
        <f>QUOTIENT(4114818300000,1000000)</f>
        <v>4114818</v>
      </c>
      <c r="F800" s="87">
        <f>QUOTIENT(6146478800000,1000000)</f>
        <v>6146478</v>
      </c>
      <c r="G800" s="87">
        <f>QUOTIENT(7067971700000,1000000)</f>
        <v>7067971</v>
      </c>
      <c r="H800" s="88">
        <f>QUOTIENT(59291200000,1000000)</f>
        <v>59291</v>
      </c>
    </row>
    <row r="801" spans="1:8" ht="21.75" customHeight="1" x14ac:dyDescent="0.15">
      <c r="A801" s="250"/>
      <c r="B801" s="23" t="s">
        <v>16</v>
      </c>
      <c r="C801" s="22">
        <v>64026</v>
      </c>
      <c r="D801" s="86">
        <f>QUOTIENT(15767458394000,1000000)</f>
        <v>15767458</v>
      </c>
      <c r="E801" s="86">
        <f>QUOTIENT(4363496770000,1000000)</f>
        <v>4363496</v>
      </c>
      <c r="F801" s="87">
        <f>QUOTIENT(4888963814000,1000000)</f>
        <v>4888963</v>
      </c>
      <c r="G801" s="87">
        <f>QUOTIENT(6486126810000,1000000)</f>
        <v>6486126</v>
      </c>
      <c r="H801" s="88">
        <f>QUOTIENT(28871000000,1000000)</f>
        <v>28871</v>
      </c>
    </row>
    <row r="802" spans="1:8" ht="21.75" customHeight="1" x14ac:dyDescent="0.15">
      <c r="A802" s="250"/>
      <c r="B802" s="23" t="s">
        <v>15</v>
      </c>
      <c r="C802" s="22">
        <v>469</v>
      </c>
      <c r="D802" s="86">
        <f>QUOTIENT(3917371894000,1000000)</f>
        <v>3917371</v>
      </c>
      <c r="E802" s="86">
        <f>QUOTIENT(3326897170000,1000000)</f>
        <v>3326897</v>
      </c>
      <c r="F802" s="87">
        <f>QUOTIENT(500830784000,1000000)</f>
        <v>500830</v>
      </c>
      <c r="G802" s="87">
        <f>QUOTIENT(89398940000,1000000)</f>
        <v>89398</v>
      </c>
      <c r="H802" s="88">
        <f>QUOTIENT(245000000,1000000)</f>
        <v>245</v>
      </c>
    </row>
    <row r="803" spans="1:8" ht="21.75" customHeight="1" x14ac:dyDescent="0.15">
      <c r="A803" s="250"/>
      <c r="B803" s="23" t="s">
        <v>14</v>
      </c>
      <c r="C803" s="22">
        <v>32</v>
      </c>
      <c r="D803" s="86">
        <f>QUOTIENT(94700000000,1000000)</f>
        <v>94700</v>
      </c>
      <c r="E803" s="86">
        <f>QUOTIENT(17900000000,1000000)</f>
        <v>17900</v>
      </c>
      <c r="F803" s="87">
        <f>QUOTIENT(54200000000,1000000)</f>
        <v>54200</v>
      </c>
      <c r="G803" s="87">
        <f>QUOTIENT(22600000000,1000000)</f>
        <v>22600</v>
      </c>
      <c r="H803" s="88">
        <f>QUOTIENT(0,1000000)</f>
        <v>0</v>
      </c>
    </row>
    <row r="804" spans="1:8" ht="21.75" customHeight="1" x14ac:dyDescent="0.15">
      <c r="A804" s="250"/>
      <c r="B804" s="23" t="s">
        <v>13</v>
      </c>
      <c r="C804" s="22">
        <v>792</v>
      </c>
      <c r="D804" s="86">
        <f>QUOTIENT(3116036573000,1000000)</f>
        <v>3116036</v>
      </c>
      <c r="E804" s="86">
        <f>QUOTIENT(190406780000,1000000)</f>
        <v>190406</v>
      </c>
      <c r="F804" s="87">
        <f>QUOTIENT(1634592003000,1000000)</f>
        <v>1634592</v>
      </c>
      <c r="G804" s="87">
        <f>QUOTIENT(1291037790000,1000000)</f>
        <v>1291037</v>
      </c>
      <c r="H804" s="88">
        <f>QUOTIENT(0,1000000)</f>
        <v>0</v>
      </c>
    </row>
    <row r="805" spans="1:8" ht="21.75" customHeight="1" x14ac:dyDescent="0.15">
      <c r="A805" s="250"/>
      <c r="B805" s="23" t="s">
        <v>12</v>
      </c>
      <c r="C805" s="22">
        <v>273</v>
      </c>
      <c r="D805" s="86">
        <f>QUOTIENT(7065000000000,1000000)</f>
        <v>7065000</v>
      </c>
      <c r="E805" s="86">
        <f>QUOTIENT(1067428000000,1000000)</f>
        <v>1067428</v>
      </c>
      <c r="F805" s="87">
        <f>QUOTIENT(2198760000000,1000000)</f>
        <v>2198760</v>
      </c>
      <c r="G805" s="87">
        <f>QUOTIENT(3770412000000,1000000)</f>
        <v>3770412</v>
      </c>
      <c r="H805" s="88">
        <f>QUOTIENT(28400000000,1000000)</f>
        <v>28400</v>
      </c>
    </row>
    <row r="806" spans="1:8" ht="21.75" customHeight="1" x14ac:dyDescent="0.15">
      <c r="A806" s="250"/>
      <c r="B806" s="23" t="s">
        <v>11</v>
      </c>
      <c r="C806" s="22">
        <v>65</v>
      </c>
      <c r="D806" s="86">
        <f>QUOTIENT(1234350000000,1000000)</f>
        <v>1234350</v>
      </c>
      <c r="E806" s="86">
        <f>QUOTIENT(130100000000,1000000)</f>
        <v>130100</v>
      </c>
      <c r="F806" s="87">
        <f>QUOTIENT(534250000000,1000000)</f>
        <v>534250</v>
      </c>
      <c r="G806" s="87">
        <f>QUOTIENT(570000000000,1000000)</f>
        <v>570000</v>
      </c>
      <c r="H806" s="88">
        <f>QUOTIENT(0,1000000)</f>
        <v>0</v>
      </c>
    </row>
    <row r="807" spans="1:8" ht="21.75" customHeight="1" x14ac:dyDescent="0.15">
      <c r="A807" s="250"/>
      <c r="B807" s="23" t="s">
        <v>10</v>
      </c>
      <c r="C807" s="22">
        <v>0</v>
      </c>
      <c r="D807" s="86">
        <f t="shared" ref="D807:G809" si="22">QUOTIENT(0,1000000)</f>
        <v>0</v>
      </c>
      <c r="E807" s="86">
        <f t="shared" si="22"/>
        <v>0</v>
      </c>
      <c r="F807" s="87">
        <f t="shared" si="22"/>
        <v>0</v>
      </c>
      <c r="G807" s="87">
        <f t="shared" si="22"/>
        <v>0</v>
      </c>
      <c r="H807" s="88">
        <f>QUOTIENT(0,1000000)</f>
        <v>0</v>
      </c>
    </row>
    <row r="808" spans="1:8" ht="21.75" customHeight="1" x14ac:dyDescent="0.15">
      <c r="A808" s="250"/>
      <c r="B808" s="23" t="s">
        <v>9</v>
      </c>
      <c r="C808" s="22">
        <v>0</v>
      </c>
      <c r="D808" s="86">
        <f t="shared" si="22"/>
        <v>0</v>
      </c>
      <c r="E808" s="86">
        <f t="shared" si="22"/>
        <v>0</v>
      </c>
      <c r="F808" s="87">
        <f t="shared" si="22"/>
        <v>0</v>
      </c>
      <c r="G808" s="87">
        <f t="shared" si="22"/>
        <v>0</v>
      </c>
      <c r="H808" s="88">
        <f>QUOTIENT(0,1000000)</f>
        <v>0</v>
      </c>
    </row>
    <row r="809" spans="1:8" ht="21.75" customHeight="1" x14ac:dyDescent="0.15">
      <c r="A809" s="250"/>
      <c r="B809" s="23" t="s">
        <v>8</v>
      </c>
      <c r="C809" s="22">
        <v>0</v>
      </c>
      <c r="D809" s="86">
        <f t="shared" si="22"/>
        <v>0</v>
      </c>
      <c r="E809" s="86">
        <f t="shared" si="22"/>
        <v>0</v>
      </c>
      <c r="F809" s="87">
        <f t="shared" si="22"/>
        <v>0</v>
      </c>
      <c r="G809" s="87">
        <f t="shared" si="22"/>
        <v>0</v>
      </c>
      <c r="H809" s="88">
        <f>QUOTIENT(0,1000000)</f>
        <v>0</v>
      </c>
    </row>
    <row r="810" spans="1:8" ht="21.75" customHeight="1" x14ac:dyDescent="0.15">
      <c r="A810" s="251"/>
      <c r="B810" s="23" t="s">
        <v>7</v>
      </c>
      <c r="C810" s="22">
        <v>63</v>
      </c>
      <c r="D810" s="86">
        <f>QUOTIENT(5530000000,1000000)</f>
        <v>5530</v>
      </c>
      <c r="E810" s="86">
        <f>QUOTIENT(0,1000000)</f>
        <v>0</v>
      </c>
      <c r="F810" s="87">
        <f>QUOTIENT(0,1000000)</f>
        <v>0</v>
      </c>
      <c r="G810" s="87">
        <f>QUOTIENT(5530000000,1000000)</f>
        <v>5530</v>
      </c>
      <c r="H810" s="88">
        <f>QUOTIENT(0,1000000)</f>
        <v>0</v>
      </c>
    </row>
    <row r="811" spans="1:8" ht="21.75" customHeight="1" x14ac:dyDescent="0.15">
      <c r="A811" s="18" t="s">
        <v>6</v>
      </c>
      <c r="B811" s="17" t="s">
        <v>5</v>
      </c>
      <c r="C811" s="16">
        <v>3182</v>
      </c>
      <c r="D811" s="80">
        <v>23057996</v>
      </c>
      <c r="E811" s="80">
        <v>863000</v>
      </c>
      <c r="F811" s="81">
        <v>10380696</v>
      </c>
      <c r="G811" s="81">
        <v>9895613</v>
      </c>
      <c r="H811" s="82">
        <v>1918687</v>
      </c>
    </row>
    <row r="812" spans="1:8" ht="21.75" customHeight="1" x14ac:dyDescent="0.15">
      <c r="A812" s="252" t="s">
        <v>4</v>
      </c>
      <c r="B812" s="12" t="s">
        <v>3</v>
      </c>
      <c r="C812" s="11">
        <v>5672</v>
      </c>
      <c r="D812" s="89">
        <f>QUOTIENT(97235543653783,1000000)</f>
        <v>97235543</v>
      </c>
      <c r="E812" s="89">
        <f>QUOTIENT(60661382241774,1000000)</f>
        <v>60661382</v>
      </c>
      <c r="F812" s="90">
        <f>QUOTIENT(16868795425022,1000000)</f>
        <v>16868795</v>
      </c>
      <c r="G812" s="90">
        <f>QUOTIENT(12209581368279,1000000)</f>
        <v>12209581</v>
      </c>
      <c r="H812" s="91">
        <f>QUOTIENT(7495784618708,1000000)</f>
        <v>7495784</v>
      </c>
    </row>
    <row r="813" spans="1:8" ht="21.75" customHeight="1" thickBot="1" x14ac:dyDescent="0.2">
      <c r="A813" s="253"/>
      <c r="B813" s="7" t="s">
        <v>1153</v>
      </c>
      <c r="C813" s="6">
        <v>8424</v>
      </c>
      <c r="D813" s="92" t="s">
        <v>2178</v>
      </c>
      <c r="E813" s="92" t="s">
        <v>2178</v>
      </c>
      <c r="F813" s="92" t="s">
        <v>2178</v>
      </c>
      <c r="G813" s="92" t="s">
        <v>2178</v>
      </c>
      <c r="H813" s="93" t="s">
        <v>2178</v>
      </c>
    </row>
    <row r="814" spans="1:8" ht="18" customHeight="1" x14ac:dyDescent="0.15">
      <c r="A814" s="3" t="s">
        <v>1155</v>
      </c>
      <c r="B814" s="2"/>
      <c r="C814" s="2"/>
      <c r="D814" s="2"/>
      <c r="E814" s="2"/>
      <c r="F814" s="2"/>
      <c r="G814" s="2"/>
      <c r="H814" s="2"/>
    </row>
    <row r="815" spans="1:8" ht="18" customHeight="1" x14ac:dyDescent="0.15">
      <c r="A815" s="3" t="s">
        <v>2587</v>
      </c>
      <c r="B815" s="2"/>
      <c r="C815" s="2"/>
      <c r="D815" s="2"/>
      <c r="E815" s="2"/>
      <c r="F815" s="2"/>
      <c r="G815" s="2"/>
      <c r="H815" s="2"/>
    </row>
    <row r="816" spans="1:8" ht="18" customHeight="1" x14ac:dyDescent="0.15">
      <c r="A816" s="3" t="s">
        <v>1156</v>
      </c>
      <c r="B816" s="2"/>
      <c r="C816" s="2"/>
      <c r="D816" s="2"/>
      <c r="E816" s="2"/>
      <c r="F816" s="2"/>
      <c r="G816" s="2"/>
      <c r="H816" s="2"/>
    </row>
    <row r="817" spans="1:8" ht="18" customHeight="1" x14ac:dyDescent="0.15">
      <c r="A817" s="3" t="s">
        <v>2515</v>
      </c>
      <c r="B817" s="2"/>
      <c r="C817" s="2"/>
      <c r="D817" s="2"/>
      <c r="E817" s="2"/>
      <c r="F817" s="2"/>
      <c r="G817" s="2"/>
      <c r="H817" s="2"/>
    </row>
    <row r="818" spans="1:8" ht="24" x14ac:dyDescent="0.15">
      <c r="A818" s="230" t="s">
        <v>2512</v>
      </c>
      <c r="B818" s="230"/>
      <c r="C818" s="230"/>
      <c r="D818" s="230"/>
      <c r="E818" s="230"/>
      <c r="F818" s="230"/>
      <c r="G818" s="230"/>
      <c r="H818" s="230"/>
    </row>
    <row r="819" spans="1:8" ht="18" customHeight="1" x14ac:dyDescent="0.15">
      <c r="A819" s="231"/>
      <c r="B819" s="231"/>
      <c r="C819" s="231"/>
      <c r="D819" s="231"/>
      <c r="E819" s="231"/>
      <c r="F819" s="231"/>
      <c r="G819" s="231"/>
      <c r="H819" s="231"/>
    </row>
    <row r="820" spans="1:8" thickBot="1" x14ac:dyDescent="0.2">
      <c r="A820" s="58" t="s">
        <v>48</v>
      </c>
    </row>
    <row r="821" spans="1:8" ht="18" customHeight="1" x14ac:dyDescent="0.15">
      <c r="A821" s="232" t="s">
        <v>47</v>
      </c>
      <c r="B821" s="235" t="s">
        <v>46</v>
      </c>
      <c r="C821" s="238" t="s">
        <v>45</v>
      </c>
      <c r="D821" s="241" t="s">
        <v>44</v>
      </c>
      <c r="E821" s="155"/>
      <c r="F821" s="56"/>
      <c r="G821" s="56"/>
      <c r="H821" s="55"/>
    </row>
    <row r="822" spans="1:8" ht="18" customHeight="1" x14ac:dyDescent="0.15">
      <c r="A822" s="233"/>
      <c r="B822" s="236"/>
      <c r="C822" s="239"/>
      <c r="D822" s="242"/>
      <c r="E822" s="244" t="s">
        <v>43</v>
      </c>
      <c r="F822" s="246" t="s">
        <v>42</v>
      </c>
      <c r="G822" s="246" t="s">
        <v>41</v>
      </c>
      <c r="H822" s="248" t="s">
        <v>40</v>
      </c>
    </row>
    <row r="823" spans="1:8" ht="18" customHeight="1" thickBot="1" x14ac:dyDescent="0.2">
      <c r="A823" s="234"/>
      <c r="B823" s="237"/>
      <c r="C823" s="240"/>
      <c r="D823" s="243"/>
      <c r="E823" s="245"/>
      <c r="F823" s="247"/>
      <c r="G823" s="247"/>
      <c r="H823" s="249"/>
    </row>
    <row r="824" spans="1:8" s="60" customFormat="1" ht="18" customHeight="1" thickTop="1" x14ac:dyDescent="0.15">
      <c r="A824" s="156"/>
      <c r="B824" s="157"/>
      <c r="C824" s="52"/>
      <c r="D824" s="51" t="s">
        <v>39</v>
      </c>
      <c r="E824" s="50" t="s">
        <v>39</v>
      </c>
      <c r="F824" s="49" t="s">
        <v>39</v>
      </c>
      <c r="G824" s="49" t="s">
        <v>39</v>
      </c>
      <c r="H824" s="48" t="s">
        <v>39</v>
      </c>
    </row>
    <row r="825" spans="1:8" ht="21.75" customHeight="1" x14ac:dyDescent="0.15">
      <c r="A825" s="250" t="s">
        <v>38</v>
      </c>
      <c r="B825" s="61" t="s">
        <v>37</v>
      </c>
      <c r="C825" s="62">
        <v>3924</v>
      </c>
      <c r="D825" s="63">
        <f>QUOTIENT(743568965204561,1000000)</f>
        <v>743568965</v>
      </c>
      <c r="E825" s="63">
        <f>QUOTIENT(269546210395188,1000000)</f>
        <v>269546210</v>
      </c>
      <c r="F825" s="64">
        <f>QUOTIENT(233288667787409,1000000)</f>
        <v>233288667</v>
      </c>
      <c r="G825" s="64">
        <f>QUOTIENT(230693854118168,1000000)</f>
        <v>230693854</v>
      </c>
      <c r="H825" s="65">
        <f>QUOTIENT(10040232903794,1000000)</f>
        <v>10040232</v>
      </c>
    </row>
    <row r="826" spans="1:8" ht="21.75" customHeight="1" x14ac:dyDescent="0.15">
      <c r="A826" s="250"/>
      <c r="B826" s="66" t="s">
        <v>36</v>
      </c>
      <c r="C826" s="67">
        <v>17</v>
      </c>
      <c r="D826" s="68">
        <f>QUOTIENT(71722837000,1000000)</f>
        <v>71722</v>
      </c>
      <c r="E826" s="68">
        <f>QUOTIENT(18638830000,1000000)</f>
        <v>18638</v>
      </c>
      <c r="F826" s="69">
        <f>QUOTIENT(51775465000,1000000)</f>
        <v>51775</v>
      </c>
      <c r="G826" s="69">
        <f>QUOTIENT(1307549000,1000000)</f>
        <v>1307</v>
      </c>
      <c r="H826" s="115">
        <f>QUOTIENT(993000,1000000)</f>
        <v>0</v>
      </c>
    </row>
    <row r="827" spans="1:8" ht="21.75" customHeight="1" x14ac:dyDescent="0.15">
      <c r="A827" s="250"/>
      <c r="B827" s="66" t="s">
        <v>35</v>
      </c>
      <c r="C827" s="67">
        <v>112</v>
      </c>
      <c r="D827" s="68">
        <f>QUOTIENT(0,1000000)</f>
        <v>0</v>
      </c>
      <c r="E827" s="68">
        <f>QUOTIENT(0,1000000)</f>
        <v>0</v>
      </c>
      <c r="F827" s="69">
        <f>QUOTIENT(0,1000000)</f>
        <v>0</v>
      </c>
      <c r="G827" s="69">
        <f>QUOTIENT(0,1000000)</f>
        <v>0</v>
      </c>
      <c r="H827" s="70">
        <f>QUOTIENT(0,1000000)</f>
        <v>0</v>
      </c>
    </row>
    <row r="828" spans="1:8" ht="21.75" customHeight="1" x14ac:dyDescent="0.15">
      <c r="A828" s="250"/>
      <c r="B828" s="71" t="s">
        <v>34</v>
      </c>
      <c r="C828" s="72">
        <v>1</v>
      </c>
      <c r="D828" s="73">
        <f>QUOTIENT(181588120800,1000000)</f>
        <v>181588</v>
      </c>
      <c r="E828" s="73">
        <f>QUOTIENT(136814527200,1000000)</f>
        <v>136814</v>
      </c>
      <c r="F828" s="74">
        <f>QUOTIENT(8904515600,1000000)</f>
        <v>8904</v>
      </c>
      <c r="G828" s="74">
        <f>QUOTIENT(33165852800,1000000)</f>
        <v>33165</v>
      </c>
      <c r="H828" s="75">
        <f>QUOTIENT(2703225200,1000000)</f>
        <v>2703</v>
      </c>
    </row>
    <row r="829" spans="1:8" ht="21.75" customHeight="1" x14ac:dyDescent="0.15">
      <c r="A829" s="250"/>
      <c r="B829" s="66" t="s">
        <v>33</v>
      </c>
      <c r="C829" s="67">
        <v>67</v>
      </c>
      <c r="D829" s="68">
        <f>QUOTIENT(17037145481800,1000000)</f>
        <v>17037145</v>
      </c>
      <c r="E829" s="68">
        <f>QUOTIENT(4273353700700,1000000)</f>
        <v>4273353</v>
      </c>
      <c r="F829" s="69">
        <f>QUOTIENT(4732131710000,1000000)</f>
        <v>4732131</v>
      </c>
      <c r="G829" s="69">
        <f>QUOTIENT(7817937176500,1000000)</f>
        <v>7817937</v>
      </c>
      <c r="H829" s="70">
        <f>QUOTIENT(213722894600,1000000)</f>
        <v>213722</v>
      </c>
    </row>
    <row r="830" spans="1:8" ht="21.75" customHeight="1" x14ac:dyDescent="0.15">
      <c r="A830" s="250"/>
      <c r="B830" s="76" t="s">
        <v>32</v>
      </c>
      <c r="C830" s="67">
        <v>235</v>
      </c>
      <c r="D830" s="68">
        <f>QUOTIENT(61320388215761,1000000)</f>
        <v>61320388</v>
      </c>
      <c r="E830" s="68">
        <f>QUOTIENT(4861911628479,1000000)</f>
        <v>4861911</v>
      </c>
      <c r="F830" s="69">
        <f>QUOTIENT(1637520204303,1000000)</f>
        <v>1637520</v>
      </c>
      <c r="G830" s="69">
        <f>QUOTIENT(54634518492023,1000000)</f>
        <v>54634518</v>
      </c>
      <c r="H830" s="70">
        <f>QUOTIENT(186437890956,1000000)</f>
        <v>186437</v>
      </c>
    </row>
    <row r="831" spans="1:8" ht="21.75" customHeight="1" x14ac:dyDescent="0.15">
      <c r="A831" s="251"/>
      <c r="B831" s="77" t="s">
        <v>31</v>
      </c>
      <c r="C831" s="72">
        <v>45</v>
      </c>
      <c r="D831" s="73">
        <f>QUOTIENT(444094377470,1000000)</f>
        <v>444094</v>
      </c>
      <c r="E831" s="73">
        <f>QUOTIENT(319921905550,1000000)</f>
        <v>319921</v>
      </c>
      <c r="F831" s="74">
        <f>QUOTIENT(11047197141,1000000)</f>
        <v>11047</v>
      </c>
      <c r="G831" s="74">
        <f>QUOTIENT(99423679167,1000000)</f>
        <v>99423</v>
      </c>
      <c r="H831" s="75">
        <f>QUOTIENT(13701595612,1000000)</f>
        <v>13701</v>
      </c>
    </row>
    <row r="832" spans="1:8" ht="21.75" customHeight="1" x14ac:dyDescent="0.15">
      <c r="A832" s="30" t="s">
        <v>30</v>
      </c>
      <c r="B832" s="78" t="s">
        <v>29</v>
      </c>
      <c r="C832" s="79">
        <v>27</v>
      </c>
      <c r="D832" s="80">
        <f>QUOTIENT(138514914802,1000000)</f>
        <v>138514</v>
      </c>
      <c r="E832" s="80">
        <f>QUOTIENT(124226167969,1000000)</f>
        <v>124226</v>
      </c>
      <c r="F832" s="81">
        <f>QUOTIENT(1682800327,1000000)</f>
        <v>1682</v>
      </c>
      <c r="G832" s="81">
        <f>QUOTIENT(215426925,1000000)</f>
        <v>215</v>
      </c>
      <c r="H832" s="82">
        <f>QUOTIENT(12390519581,1000000)</f>
        <v>12390</v>
      </c>
    </row>
    <row r="833" spans="1:8" ht="21.75" customHeight="1" x14ac:dyDescent="0.15">
      <c r="A833" s="252" t="s">
        <v>28</v>
      </c>
      <c r="B833" s="17" t="s">
        <v>27</v>
      </c>
      <c r="C833" s="16">
        <v>3429</v>
      </c>
      <c r="D833" s="83">
        <f>QUOTIENT(65028678570000,1000000)</f>
        <v>65028678</v>
      </c>
      <c r="E833" s="83">
        <f>QUOTIENT(10211477690000,1000000)</f>
        <v>10211477</v>
      </c>
      <c r="F833" s="84">
        <f>QUOTIENT(30053097700000,1000000)</f>
        <v>30053097</v>
      </c>
      <c r="G833" s="84">
        <f>QUOTIENT(24650973650000,1000000)</f>
        <v>24650973</v>
      </c>
      <c r="H833" s="85">
        <f>QUOTIENT(113129530000,1000000)</f>
        <v>113129</v>
      </c>
    </row>
    <row r="834" spans="1:8" ht="21.75" customHeight="1" x14ac:dyDescent="0.15">
      <c r="A834" s="250"/>
      <c r="B834" s="23" t="s">
        <v>26</v>
      </c>
      <c r="C834" s="22">
        <v>3573</v>
      </c>
      <c r="D834" s="86">
        <f>QUOTIENT(15381795604000,1000000)</f>
        <v>15381795</v>
      </c>
      <c r="E834" s="86">
        <f>QUOTIENT(504495436000,1000000)</f>
        <v>504495</v>
      </c>
      <c r="F834" s="87">
        <f>QUOTIENT(10141293334000,1000000)</f>
        <v>10141293</v>
      </c>
      <c r="G834" s="87">
        <f>QUOTIENT(4725069834000,1000000)</f>
        <v>4725069</v>
      </c>
      <c r="H834" s="88">
        <f>QUOTIENT(10937000000,1000000)</f>
        <v>10937</v>
      </c>
    </row>
    <row r="835" spans="1:8" ht="21.75" customHeight="1" x14ac:dyDescent="0.15">
      <c r="A835" s="250"/>
      <c r="B835" s="24" t="s">
        <v>25</v>
      </c>
      <c r="C835" s="22">
        <v>558</v>
      </c>
      <c r="D835" s="86">
        <f>QUOTIENT(21613900000000,1000000)</f>
        <v>21613900</v>
      </c>
      <c r="E835" s="86">
        <f>QUOTIENT(1595120100000,1000000)</f>
        <v>1595120</v>
      </c>
      <c r="F835" s="87">
        <f>QUOTIENT(9489869100000,1000000)</f>
        <v>9489869</v>
      </c>
      <c r="G835" s="87">
        <f>QUOTIENT(10475605800000,1000000)</f>
        <v>10475605</v>
      </c>
      <c r="H835" s="88">
        <f>QUOTIENT(53305000000,1000000)</f>
        <v>53305</v>
      </c>
    </row>
    <row r="836" spans="1:8" ht="21.75" customHeight="1" x14ac:dyDescent="0.15">
      <c r="A836" s="250"/>
      <c r="B836" s="23" t="s">
        <v>24</v>
      </c>
      <c r="C836" s="22">
        <v>2113</v>
      </c>
      <c r="D836" s="86">
        <f>QUOTIENT(57674800000000,1000000)</f>
        <v>57674800</v>
      </c>
      <c r="E836" s="86">
        <f>QUOTIENT(7566208400000,1000000)</f>
        <v>7566208</v>
      </c>
      <c r="F836" s="87">
        <f>QUOTIENT(20082428600000,1000000)</f>
        <v>20082428</v>
      </c>
      <c r="G836" s="87">
        <f>QUOTIENT(30020313000000,1000000)</f>
        <v>30020313</v>
      </c>
      <c r="H836" s="88">
        <f>QUOTIENT(5850000000,1000000)</f>
        <v>5850</v>
      </c>
    </row>
    <row r="837" spans="1:8" ht="21.75" customHeight="1" x14ac:dyDescent="0.15">
      <c r="A837" s="250"/>
      <c r="B837" s="23" t="s">
        <v>23</v>
      </c>
      <c r="C837" s="22">
        <v>496</v>
      </c>
      <c r="D837" s="86">
        <f>QUOTIENT(5123456000000,1000000)</f>
        <v>5123456</v>
      </c>
      <c r="E837" s="86">
        <f>QUOTIENT(319110700000,1000000)</f>
        <v>319110</v>
      </c>
      <c r="F837" s="87">
        <f>QUOTIENT(101540900000,1000000)</f>
        <v>101540</v>
      </c>
      <c r="G837" s="87">
        <f>QUOTIENT(4702804400000,1000000)</f>
        <v>4702804</v>
      </c>
      <c r="H837" s="88">
        <f>QUOTIENT(0,1000000)</f>
        <v>0</v>
      </c>
    </row>
    <row r="838" spans="1:8" ht="21.75" customHeight="1" x14ac:dyDescent="0.15">
      <c r="A838" s="250"/>
      <c r="B838" s="23" t="s">
        <v>22</v>
      </c>
      <c r="C838" s="22">
        <v>164</v>
      </c>
      <c r="D838" s="86">
        <f>QUOTIENT(1316300000000,1000000)</f>
        <v>1316300</v>
      </c>
      <c r="E838" s="86">
        <f>QUOTIENT(330520000000,1000000)</f>
        <v>330520</v>
      </c>
      <c r="F838" s="87">
        <f>QUOTIENT(473600000000,1000000)</f>
        <v>473600</v>
      </c>
      <c r="G838" s="87">
        <f>QUOTIENT(512180000000,1000000)</f>
        <v>512180</v>
      </c>
      <c r="H838" s="88">
        <f>QUOTIENT(0,1000000)</f>
        <v>0</v>
      </c>
    </row>
    <row r="839" spans="1:8" ht="21.75" customHeight="1" x14ac:dyDescent="0.15">
      <c r="A839" s="250"/>
      <c r="B839" s="23" t="s">
        <v>21</v>
      </c>
      <c r="C839" s="22">
        <v>21</v>
      </c>
      <c r="D839" s="86">
        <f>QUOTIENT(133500000000,1000000)</f>
        <v>133500</v>
      </c>
      <c r="E839" s="86">
        <f>QUOTIENT(110493000000,1000000)</f>
        <v>110493</v>
      </c>
      <c r="F839" s="87">
        <f>QUOTIENT(13245000000,1000000)</f>
        <v>13245</v>
      </c>
      <c r="G839" s="87">
        <f>QUOTIENT(9762000000,1000000)</f>
        <v>9762</v>
      </c>
      <c r="H839" s="88">
        <f>QUOTIENT(0,1000000)</f>
        <v>0</v>
      </c>
    </row>
    <row r="840" spans="1:8" ht="21.75" customHeight="1" x14ac:dyDescent="0.15">
      <c r="A840" s="250"/>
      <c r="B840" s="23" t="s">
        <v>20</v>
      </c>
      <c r="C840" s="22">
        <v>0</v>
      </c>
      <c r="D840" s="86">
        <f>QUOTIENT(0,1000000)</f>
        <v>0</v>
      </c>
      <c r="E840" s="86">
        <f>QUOTIENT(0,1000000)</f>
        <v>0</v>
      </c>
      <c r="F840" s="87">
        <f>QUOTIENT(0,1000000)</f>
        <v>0</v>
      </c>
      <c r="G840" s="87">
        <f>QUOTIENT(0,1000000)</f>
        <v>0</v>
      </c>
      <c r="H840" s="88">
        <f>QUOTIENT(0,1000000)</f>
        <v>0</v>
      </c>
    </row>
    <row r="841" spans="1:8" ht="21.75" customHeight="1" x14ac:dyDescent="0.15">
      <c r="A841" s="250"/>
      <c r="B841" s="23" t="s">
        <v>19</v>
      </c>
      <c r="C841" s="22">
        <v>211</v>
      </c>
      <c r="D841" s="86">
        <f>QUOTIENT(5159740000000,1000000)</f>
        <v>5159740</v>
      </c>
      <c r="E841" s="86">
        <f>QUOTIENT(569160000000,1000000)</f>
        <v>569160</v>
      </c>
      <c r="F841" s="87">
        <f>QUOTIENT(2575250000000,1000000)</f>
        <v>2575250</v>
      </c>
      <c r="G841" s="87">
        <f>QUOTIENT(1965770000000,1000000)</f>
        <v>1965770</v>
      </c>
      <c r="H841" s="88">
        <f>QUOTIENT(49560000000,1000000)</f>
        <v>49560</v>
      </c>
    </row>
    <row r="842" spans="1:8" ht="21.75" customHeight="1" x14ac:dyDescent="0.15">
      <c r="A842" s="250"/>
      <c r="B842" s="23" t="s">
        <v>18</v>
      </c>
      <c r="C842" s="22">
        <v>4079</v>
      </c>
      <c r="D842" s="86">
        <f>QUOTIENT(83714833500000,1000000)</f>
        <v>83714833</v>
      </c>
      <c r="E842" s="86">
        <f>QUOTIENT(19887997100000,1000000)</f>
        <v>19887997</v>
      </c>
      <c r="F842" s="87">
        <f>QUOTIENT(33071198800000,1000000)</f>
        <v>33071198</v>
      </c>
      <c r="G842" s="87">
        <f>QUOTIENT(30148832400000,1000000)</f>
        <v>30148832</v>
      </c>
      <c r="H842" s="88">
        <f>QUOTIENT(606805200000,1000000)</f>
        <v>606805</v>
      </c>
    </row>
    <row r="843" spans="1:8" ht="21.75" customHeight="1" x14ac:dyDescent="0.15">
      <c r="A843" s="250"/>
      <c r="B843" s="23" t="s">
        <v>17</v>
      </c>
      <c r="C843" s="22">
        <v>765</v>
      </c>
      <c r="D843" s="86">
        <f>QUOTIENT(17593960000000,1000000)</f>
        <v>17593960</v>
      </c>
      <c r="E843" s="86">
        <f>QUOTIENT(4181916300000,1000000)</f>
        <v>4181916</v>
      </c>
      <c r="F843" s="87">
        <f>QUOTIENT(7580586200000,1000000)</f>
        <v>7580586</v>
      </c>
      <c r="G843" s="87">
        <f>QUOTIENT(5772176300000,1000000)</f>
        <v>5772176</v>
      </c>
      <c r="H843" s="88">
        <f>QUOTIENT(59281200000,1000000)</f>
        <v>59281</v>
      </c>
    </row>
    <row r="844" spans="1:8" ht="21.75" customHeight="1" x14ac:dyDescent="0.15">
      <c r="A844" s="250"/>
      <c r="B844" s="23" t="s">
        <v>16</v>
      </c>
      <c r="C844" s="22">
        <v>64166</v>
      </c>
      <c r="D844" s="86">
        <f>QUOTIENT(15876932984000,1000000)</f>
        <v>15876932</v>
      </c>
      <c r="E844" s="86">
        <f>QUOTIENT(4410462830000,1000000)</f>
        <v>4410462</v>
      </c>
      <c r="F844" s="87">
        <f>QUOTIENT(4911961414000,1000000)</f>
        <v>4911961</v>
      </c>
      <c r="G844" s="87">
        <f>QUOTIENT(6525637740000,1000000)</f>
        <v>6525637</v>
      </c>
      <c r="H844" s="88">
        <f>QUOTIENT(28871000000,1000000)</f>
        <v>28871</v>
      </c>
    </row>
    <row r="845" spans="1:8" ht="21.75" customHeight="1" x14ac:dyDescent="0.15">
      <c r="A845" s="250"/>
      <c r="B845" s="23" t="s">
        <v>15</v>
      </c>
      <c r="C845" s="22">
        <v>476</v>
      </c>
      <c r="D845" s="86">
        <f>QUOTIENT(3980867954000,1000000)</f>
        <v>3980867</v>
      </c>
      <c r="E845" s="86">
        <f>QUOTIENT(3376233230000,1000000)</f>
        <v>3376233</v>
      </c>
      <c r="F845" s="87">
        <f>QUOTIENT(500830784000,1000000)</f>
        <v>500830</v>
      </c>
      <c r="G845" s="87">
        <f>QUOTIENT(103558940000,1000000)</f>
        <v>103558</v>
      </c>
      <c r="H845" s="88">
        <f>QUOTIENT(245000000,1000000)</f>
        <v>245</v>
      </c>
    </row>
    <row r="846" spans="1:8" ht="21.75" customHeight="1" x14ac:dyDescent="0.15">
      <c r="A846" s="250"/>
      <c r="B846" s="23" t="s">
        <v>14</v>
      </c>
      <c r="C846" s="22">
        <v>33</v>
      </c>
      <c r="D846" s="86">
        <f>QUOTIENT(97700000000,1000000)</f>
        <v>97700</v>
      </c>
      <c r="E846" s="86">
        <f>QUOTIENT(19200000000,1000000)</f>
        <v>19200</v>
      </c>
      <c r="F846" s="87">
        <f>QUOTIENT(55300000000,1000000)</f>
        <v>55300</v>
      </c>
      <c r="G846" s="87">
        <f>QUOTIENT(23200000000,1000000)</f>
        <v>23200</v>
      </c>
      <c r="H846" s="88">
        <f>QUOTIENT(0,1000000)</f>
        <v>0</v>
      </c>
    </row>
    <row r="847" spans="1:8" ht="21.75" customHeight="1" x14ac:dyDescent="0.15">
      <c r="A847" s="250"/>
      <c r="B847" s="23" t="s">
        <v>13</v>
      </c>
      <c r="C847" s="22">
        <v>772</v>
      </c>
      <c r="D847" s="86">
        <f>QUOTIENT(3035507558000,1000000)</f>
        <v>3035507</v>
      </c>
      <c r="E847" s="86">
        <f>QUOTIENT(190006780000,1000000)</f>
        <v>190006</v>
      </c>
      <c r="F847" s="87">
        <f>QUOTIENT(1564862988000,1000000)</f>
        <v>1564862</v>
      </c>
      <c r="G847" s="87">
        <f>QUOTIENT(1280637790000,1000000)</f>
        <v>1280637</v>
      </c>
      <c r="H847" s="88">
        <f>QUOTIENT(0,1000000)</f>
        <v>0</v>
      </c>
    </row>
    <row r="848" spans="1:8" ht="21.75" customHeight="1" x14ac:dyDescent="0.15">
      <c r="A848" s="250"/>
      <c r="B848" s="23" t="s">
        <v>12</v>
      </c>
      <c r="C848" s="22">
        <v>266</v>
      </c>
      <c r="D848" s="86">
        <f>QUOTIENT(6906100000000,1000000)</f>
        <v>6906100</v>
      </c>
      <c r="E848" s="86">
        <f>QUOTIENT(1020028000000,1000000)</f>
        <v>1020028</v>
      </c>
      <c r="F848" s="87">
        <f>QUOTIENT(2163560000000,1000000)</f>
        <v>2163560</v>
      </c>
      <c r="G848" s="87">
        <f>QUOTIENT(3694012000000,1000000)</f>
        <v>3694012</v>
      </c>
      <c r="H848" s="88">
        <f>QUOTIENT(28500000000,1000000)</f>
        <v>28500</v>
      </c>
    </row>
    <row r="849" spans="1:8" ht="21.75" customHeight="1" x14ac:dyDescent="0.15">
      <c r="A849" s="250"/>
      <c r="B849" s="23" t="s">
        <v>11</v>
      </c>
      <c r="C849" s="22">
        <v>65</v>
      </c>
      <c r="D849" s="86">
        <f>QUOTIENT(1250150000000,1000000)</f>
        <v>1250150</v>
      </c>
      <c r="E849" s="86">
        <f>QUOTIENT(130300000000,1000000)</f>
        <v>130300</v>
      </c>
      <c r="F849" s="87">
        <f>QUOTIENT(548250000000,1000000)</f>
        <v>548250</v>
      </c>
      <c r="G849" s="87">
        <f>QUOTIENT(571600000000,1000000)</f>
        <v>571600</v>
      </c>
      <c r="H849" s="88">
        <f>QUOTIENT(0,1000000)</f>
        <v>0</v>
      </c>
    </row>
    <row r="850" spans="1:8" ht="21.75" customHeight="1" x14ac:dyDescent="0.15">
      <c r="A850" s="250"/>
      <c r="B850" s="23" t="s">
        <v>10</v>
      </c>
      <c r="C850" s="22">
        <v>0</v>
      </c>
      <c r="D850" s="86">
        <f t="shared" ref="D850:G852" si="23">QUOTIENT(0,1000000)</f>
        <v>0</v>
      </c>
      <c r="E850" s="86">
        <f t="shared" si="23"/>
        <v>0</v>
      </c>
      <c r="F850" s="87">
        <f t="shared" si="23"/>
        <v>0</v>
      </c>
      <c r="G850" s="87">
        <f t="shared" si="23"/>
        <v>0</v>
      </c>
      <c r="H850" s="88">
        <f>QUOTIENT(0,1000000)</f>
        <v>0</v>
      </c>
    </row>
    <row r="851" spans="1:8" ht="21.75" customHeight="1" x14ac:dyDescent="0.15">
      <c r="A851" s="250"/>
      <c r="B851" s="23" t="s">
        <v>9</v>
      </c>
      <c r="C851" s="22">
        <v>0</v>
      </c>
      <c r="D851" s="86">
        <f t="shared" si="23"/>
        <v>0</v>
      </c>
      <c r="E851" s="86">
        <f t="shared" si="23"/>
        <v>0</v>
      </c>
      <c r="F851" s="87">
        <f t="shared" si="23"/>
        <v>0</v>
      </c>
      <c r="G851" s="87">
        <f t="shared" si="23"/>
        <v>0</v>
      </c>
      <c r="H851" s="88">
        <f>QUOTIENT(0,1000000)</f>
        <v>0</v>
      </c>
    </row>
    <row r="852" spans="1:8" ht="21.75" customHeight="1" x14ac:dyDescent="0.15">
      <c r="A852" s="250"/>
      <c r="B852" s="23" t="s">
        <v>8</v>
      </c>
      <c r="C852" s="22">
        <v>0</v>
      </c>
      <c r="D852" s="86">
        <f t="shared" si="23"/>
        <v>0</v>
      </c>
      <c r="E852" s="86">
        <f t="shared" si="23"/>
        <v>0</v>
      </c>
      <c r="F852" s="87">
        <f t="shared" si="23"/>
        <v>0</v>
      </c>
      <c r="G852" s="87">
        <f t="shared" si="23"/>
        <v>0</v>
      </c>
      <c r="H852" s="88">
        <f>QUOTIENT(0,1000000)</f>
        <v>0</v>
      </c>
    </row>
    <row r="853" spans="1:8" ht="21.75" customHeight="1" x14ac:dyDescent="0.15">
      <c r="A853" s="251"/>
      <c r="B853" s="23" t="s">
        <v>7</v>
      </c>
      <c r="C853" s="22">
        <v>63</v>
      </c>
      <c r="D853" s="86">
        <f>QUOTIENT(19380000000,1000000)</f>
        <v>19380</v>
      </c>
      <c r="E853" s="86">
        <f>QUOTIENT(0,1000000)</f>
        <v>0</v>
      </c>
      <c r="F853" s="87">
        <f>QUOTIENT(14000000000,1000000)</f>
        <v>14000</v>
      </c>
      <c r="G853" s="87">
        <f>QUOTIENT(5380000000,1000000)</f>
        <v>5380</v>
      </c>
      <c r="H853" s="88">
        <f>QUOTIENT(0,1000000)</f>
        <v>0</v>
      </c>
    </row>
    <row r="854" spans="1:8" ht="21.75" customHeight="1" x14ac:dyDescent="0.15">
      <c r="A854" s="18" t="s">
        <v>6</v>
      </c>
      <c r="B854" s="17" t="s">
        <v>5</v>
      </c>
      <c r="C854" s="16">
        <v>3314</v>
      </c>
      <c r="D854" s="80">
        <v>28175851</v>
      </c>
      <c r="E854" s="80">
        <v>867000</v>
      </c>
      <c r="F854" s="81">
        <v>13859324</v>
      </c>
      <c r="G854" s="81">
        <v>11384127</v>
      </c>
      <c r="H854" s="82">
        <v>2065400</v>
      </c>
    </row>
    <row r="855" spans="1:8" ht="21.75" customHeight="1" x14ac:dyDescent="0.15">
      <c r="A855" s="252" t="s">
        <v>4</v>
      </c>
      <c r="B855" s="12" t="s">
        <v>3</v>
      </c>
      <c r="C855" s="11">
        <v>5685</v>
      </c>
      <c r="D855" s="89">
        <f>QUOTIENT(101080711361440,1000000)</f>
        <v>101080711</v>
      </c>
      <c r="E855" s="89">
        <f>QUOTIENT(63221368456840,1000000)</f>
        <v>63221368</v>
      </c>
      <c r="F855" s="90">
        <f>QUOTIENT(17391781696418,1000000)</f>
        <v>17391781</v>
      </c>
      <c r="G855" s="90">
        <f>QUOTIENT(12678712087364,1000000)</f>
        <v>12678712</v>
      </c>
      <c r="H855" s="91">
        <f>QUOTIENT(7788849120818,1000000)</f>
        <v>7788849</v>
      </c>
    </row>
    <row r="856" spans="1:8" ht="21.75" customHeight="1" thickBot="1" x14ac:dyDescent="0.2">
      <c r="A856" s="253"/>
      <c r="B856" s="7" t="s">
        <v>1153</v>
      </c>
      <c r="C856" s="6">
        <v>8396</v>
      </c>
      <c r="D856" s="92" t="s">
        <v>2178</v>
      </c>
      <c r="E856" s="92" t="s">
        <v>2178</v>
      </c>
      <c r="F856" s="92" t="s">
        <v>2178</v>
      </c>
      <c r="G856" s="92" t="s">
        <v>2178</v>
      </c>
      <c r="H856" s="93" t="s">
        <v>2178</v>
      </c>
    </row>
    <row r="857" spans="1:8" ht="18" customHeight="1" x14ac:dyDescent="0.15">
      <c r="A857" s="3" t="s">
        <v>1155</v>
      </c>
      <c r="B857" s="2"/>
      <c r="C857" s="2"/>
      <c r="D857" s="2"/>
      <c r="E857" s="2"/>
      <c r="F857" s="2"/>
      <c r="G857" s="2"/>
      <c r="H857" s="2"/>
    </row>
    <row r="858" spans="1:8" ht="18" customHeight="1" x14ac:dyDescent="0.15">
      <c r="A858" s="3" t="s">
        <v>2587</v>
      </c>
      <c r="B858" s="2"/>
      <c r="C858" s="2"/>
      <c r="D858" s="2"/>
      <c r="E858" s="2"/>
      <c r="F858" s="2"/>
      <c r="G858" s="2"/>
      <c r="H858" s="2"/>
    </row>
    <row r="859" spans="1:8" ht="18" customHeight="1" x14ac:dyDescent="0.15">
      <c r="A859" s="3" t="s">
        <v>1156</v>
      </c>
      <c r="B859" s="2"/>
      <c r="C859" s="2"/>
      <c r="D859" s="2"/>
      <c r="E859" s="2"/>
      <c r="F859" s="2"/>
      <c r="G859" s="2"/>
      <c r="H859" s="2"/>
    </row>
    <row r="860" spans="1:8" ht="18" customHeight="1" x14ac:dyDescent="0.15">
      <c r="A860" s="3" t="s">
        <v>2513</v>
      </c>
      <c r="B860" s="2"/>
      <c r="C860" s="2"/>
      <c r="D860" s="2"/>
      <c r="E860" s="2"/>
      <c r="F860" s="2"/>
      <c r="G860" s="2"/>
      <c r="H860" s="2"/>
    </row>
    <row r="861" spans="1:8" ht="24" x14ac:dyDescent="0.15">
      <c r="A861" s="230" t="s">
        <v>2510</v>
      </c>
      <c r="B861" s="230"/>
      <c r="C861" s="230"/>
      <c r="D861" s="230"/>
      <c r="E861" s="230"/>
      <c r="F861" s="230"/>
      <c r="G861" s="230"/>
      <c r="H861" s="230"/>
    </row>
    <row r="862" spans="1:8" ht="18" customHeight="1" x14ac:dyDescent="0.15">
      <c r="A862" s="231"/>
      <c r="B862" s="231"/>
      <c r="C862" s="231"/>
      <c r="D862" s="231"/>
      <c r="E862" s="231"/>
      <c r="F862" s="231"/>
      <c r="G862" s="231"/>
      <c r="H862" s="231"/>
    </row>
    <row r="863" spans="1:8" thickBot="1" x14ac:dyDescent="0.2">
      <c r="A863" s="58" t="s">
        <v>48</v>
      </c>
    </row>
    <row r="864" spans="1:8" ht="18" customHeight="1" x14ac:dyDescent="0.15">
      <c r="A864" s="232" t="s">
        <v>47</v>
      </c>
      <c r="B864" s="235" t="s">
        <v>46</v>
      </c>
      <c r="C864" s="238" t="s">
        <v>45</v>
      </c>
      <c r="D864" s="241" t="s">
        <v>44</v>
      </c>
      <c r="E864" s="152"/>
      <c r="F864" s="56"/>
      <c r="G864" s="56"/>
      <c r="H864" s="55"/>
    </row>
    <row r="865" spans="1:8" ht="18" customHeight="1" x14ac:dyDescent="0.15">
      <c r="A865" s="233"/>
      <c r="B865" s="236"/>
      <c r="C865" s="239"/>
      <c r="D865" s="242"/>
      <c r="E865" s="244" t="s">
        <v>43</v>
      </c>
      <c r="F865" s="246" t="s">
        <v>42</v>
      </c>
      <c r="G865" s="246" t="s">
        <v>41</v>
      </c>
      <c r="H865" s="248" t="s">
        <v>40</v>
      </c>
    </row>
    <row r="866" spans="1:8" ht="18" customHeight="1" thickBot="1" x14ac:dyDescent="0.2">
      <c r="A866" s="234"/>
      <c r="B866" s="237"/>
      <c r="C866" s="240"/>
      <c r="D866" s="243"/>
      <c r="E866" s="245"/>
      <c r="F866" s="247"/>
      <c r="G866" s="247"/>
      <c r="H866" s="249"/>
    </row>
    <row r="867" spans="1:8" s="60" customFormat="1" ht="18" customHeight="1" thickTop="1" x14ac:dyDescent="0.15">
      <c r="A867" s="153"/>
      <c r="B867" s="154"/>
      <c r="C867" s="52"/>
      <c r="D867" s="51" t="s">
        <v>39</v>
      </c>
      <c r="E867" s="50" t="s">
        <v>39</v>
      </c>
      <c r="F867" s="49" t="s">
        <v>39</v>
      </c>
      <c r="G867" s="49" t="s">
        <v>39</v>
      </c>
      <c r="H867" s="48" t="s">
        <v>39</v>
      </c>
    </row>
    <row r="868" spans="1:8" ht="21.75" customHeight="1" x14ac:dyDescent="0.15">
      <c r="A868" s="250" t="s">
        <v>38</v>
      </c>
      <c r="B868" s="61" t="s">
        <v>37</v>
      </c>
      <c r="C868" s="62">
        <v>3930</v>
      </c>
      <c r="D868" s="63">
        <f>QUOTIENT(735900142609942,1000000)</f>
        <v>735900142</v>
      </c>
      <c r="E868" s="63">
        <f>QUOTIENT(266031998371743,1000000)</f>
        <v>266031998</v>
      </c>
      <c r="F868" s="64">
        <f>QUOTIENT(233252490158032,1000000)</f>
        <v>233252490</v>
      </c>
      <c r="G868" s="64">
        <f>QUOTIENT(226961883350342,1000000)</f>
        <v>226961883</v>
      </c>
      <c r="H868" s="65">
        <f>QUOTIENT(9653770729824,1000000)</f>
        <v>9653770</v>
      </c>
    </row>
    <row r="869" spans="1:8" ht="21.75" customHeight="1" x14ac:dyDescent="0.15">
      <c r="A869" s="250"/>
      <c r="B869" s="66" t="s">
        <v>36</v>
      </c>
      <c r="C869" s="67">
        <v>17</v>
      </c>
      <c r="D869" s="68">
        <f>QUOTIENT(80923442500,1000000)</f>
        <v>80923</v>
      </c>
      <c r="E869" s="68">
        <f>QUOTIENT(23454764500,1000000)</f>
        <v>23454</v>
      </c>
      <c r="F869" s="69">
        <f>QUOTIENT(55693987000,1000000)</f>
        <v>55693</v>
      </c>
      <c r="G869" s="69">
        <f>QUOTIENT(1773698000,1000000)</f>
        <v>1773</v>
      </c>
      <c r="H869" s="115">
        <f>QUOTIENT(993000,1000000)</f>
        <v>0</v>
      </c>
    </row>
    <row r="870" spans="1:8" ht="21.75" customHeight="1" x14ac:dyDescent="0.15">
      <c r="A870" s="250"/>
      <c r="B870" s="66" t="s">
        <v>35</v>
      </c>
      <c r="C870" s="67">
        <v>109</v>
      </c>
      <c r="D870" s="68">
        <f>QUOTIENT(0,1000000)</f>
        <v>0</v>
      </c>
      <c r="E870" s="68">
        <f>QUOTIENT(0,1000000)</f>
        <v>0</v>
      </c>
      <c r="F870" s="69">
        <f>QUOTIENT(0,1000000)</f>
        <v>0</v>
      </c>
      <c r="G870" s="69">
        <f>QUOTIENT(0,1000000)</f>
        <v>0</v>
      </c>
      <c r="H870" s="70">
        <f>QUOTIENT(0,1000000)</f>
        <v>0</v>
      </c>
    </row>
    <row r="871" spans="1:8" ht="21.75" customHeight="1" x14ac:dyDescent="0.15">
      <c r="A871" s="250"/>
      <c r="B871" s="71" t="s">
        <v>34</v>
      </c>
      <c r="C871" s="72">
        <v>1</v>
      </c>
      <c r="D871" s="73">
        <f>QUOTIENT(172735345800,1000000)</f>
        <v>172735</v>
      </c>
      <c r="E871" s="73">
        <f>QUOTIENT(130138454700,1000000)</f>
        <v>130138</v>
      </c>
      <c r="F871" s="74">
        <f>QUOTIENT(8468939700,1000000)</f>
        <v>8468</v>
      </c>
      <c r="G871" s="74">
        <f>QUOTIENT(31548952800,1000000)</f>
        <v>31548</v>
      </c>
      <c r="H871" s="75">
        <f>QUOTIENT(2578998600,1000000)</f>
        <v>2578</v>
      </c>
    </row>
    <row r="872" spans="1:8" ht="21.75" customHeight="1" x14ac:dyDescent="0.15">
      <c r="A872" s="250"/>
      <c r="B872" s="66" t="s">
        <v>33</v>
      </c>
      <c r="C872" s="67">
        <v>68</v>
      </c>
      <c r="D872" s="68">
        <f>QUOTIENT(16940449436600,1000000)</f>
        <v>16940449</v>
      </c>
      <c r="E872" s="68">
        <f>QUOTIENT(4171450082150,1000000)</f>
        <v>4171450</v>
      </c>
      <c r="F872" s="69">
        <f>QUOTIENT(4823700114800,1000000)</f>
        <v>4823700</v>
      </c>
      <c r="G872" s="69">
        <f>QUOTIENT(7770436888200,1000000)</f>
        <v>7770436</v>
      </c>
      <c r="H872" s="70">
        <f>QUOTIENT(174862351450,1000000)</f>
        <v>174862</v>
      </c>
    </row>
    <row r="873" spans="1:8" ht="21.75" customHeight="1" x14ac:dyDescent="0.15">
      <c r="A873" s="250"/>
      <c r="B873" s="76" t="s">
        <v>32</v>
      </c>
      <c r="C873" s="67">
        <v>231</v>
      </c>
      <c r="D873" s="68">
        <f>QUOTIENT(60709943335867,1000000)</f>
        <v>60709943</v>
      </c>
      <c r="E873" s="68">
        <f>QUOTIENT(5068752417281,1000000)</f>
        <v>5068752</v>
      </c>
      <c r="F873" s="69">
        <f>QUOTIENT(1620762137847,1000000)</f>
        <v>1620762</v>
      </c>
      <c r="G873" s="69">
        <f>QUOTIENT(53845744467636,1000000)</f>
        <v>53845744</v>
      </c>
      <c r="H873" s="70">
        <f>QUOTIENT(174684313100,1000000)</f>
        <v>174684</v>
      </c>
    </row>
    <row r="874" spans="1:8" ht="21.75" customHeight="1" x14ac:dyDescent="0.15">
      <c r="A874" s="251"/>
      <c r="B874" s="77" t="s">
        <v>31</v>
      </c>
      <c r="C874" s="72">
        <v>45</v>
      </c>
      <c r="D874" s="73">
        <f>QUOTIENT(435296987930,1000000)</f>
        <v>435296</v>
      </c>
      <c r="E874" s="73">
        <f>QUOTIENT(313826188002,1000000)</f>
        <v>313826</v>
      </c>
      <c r="F874" s="74">
        <f>QUOTIENT(12155881238,1000000)</f>
        <v>12155</v>
      </c>
      <c r="G874" s="74">
        <f>QUOTIENT(95453278174,1000000)</f>
        <v>95453</v>
      </c>
      <c r="H874" s="75">
        <f>QUOTIENT(13861640516,1000000)</f>
        <v>13861</v>
      </c>
    </row>
    <row r="875" spans="1:8" ht="21.75" customHeight="1" x14ac:dyDescent="0.15">
      <c r="A875" s="30" t="s">
        <v>30</v>
      </c>
      <c r="B875" s="78" t="s">
        <v>29</v>
      </c>
      <c r="C875" s="79">
        <v>27</v>
      </c>
      <c r="D875" s="80">
        <f>QUOTIENT(139282479896,1000000)</f>
        <v>139282</v>
      </c>
      <c r="E875" s="80">
        <f>QUOTIENT(124443803397,1000000)</f>
        <v>124443</v>
      </c>
      <c r="F875" s="81">
        <f>QUOTIENT(2163407499,1000000)</f>
        <v>2163</v>
      </c>
      <c r="G875" s="81">
        <f>QUOTIENT(211888980,1000000)</f>
        <v>211</v>
      </c>
      <c r="H875" s="82">
        <f>QUOTIENT(12463380020,1000000)</f>
        <v>12463</v>
      </c>
    </row>
    <row r="876" spans="1:8" ht="21.75" customHeight="1" x14ac:dyDescent="0.15">
      <c r="A876" s="252" t="s">
        <v>28</v>
      </c>
      <c r="B876" s="17" t="s">
        <v>27</v>
      </c>
      <c r="C876" s="16">
        <v>3416</v>
      </c>
      <c r="D876" s="83">
        <f>QUOTIENT(64903678570000,1000000)</f>
        <v>64903678</v>
      </c>
      <c r="E876" s="83">
        <f>QUOTIENT(10159792580000,1000000)</f>
        <v>10159792</v>
      </c>
      <c r="F876" s="84">
        <f>QUOTIENT(30236767350000,1000000)</f>
        <v>30236767</v>
      </c>
      <c r="G876" s="84">
        <f>QUOTIENT(24393389110000,1000000)</f>
        <v>24393389</v>
      </c>
      <c r="H876" s="85">
        <f>QUOTIENT(113729530000,1000000)</f>
        <v>113729</v>
      </c>
    </row>
    <row r="877" spans="1:8" ht="21.75" customHeight="1" x14ac:dyDescent="0.15">
      <c r="A877" s="250"/>
      <c r="B877" s="23" t="s">
        <v>26</v>
      </c>
      <c r="C877" s="22">
        <v>3573</v>
      </c>
      <c r="D877" s="86">
        <f>QUOTIENT(15381795604000,1000000)</f>
        <v>15381795</v>
      </c>
      <c r="E877" s="86">
        <f>QUOTIENT(511159336000,1000000)</f>
        <v>511159</v>
      </c>
      <c r="F877" s="87">
        <f>QUOTIENT(10252955879000,1000000)</f>
        <v>10252955</v>
      </c>
      <c r="G877" s="87">
        <f>QUOTIENT(4606743389000,1000000)</f>
        <v>4606743</v>
      </c>
      <c r="H877" s="88">
        <f>QUOTIENT(10937000000,1000000)</f>
        <v>10937</v>
      </c>
    </row>
    <row r="878" spans="1:8" ht="21.75" customHeight="1" x14ac:dyDescent="0.15">
      <c r="A878" s="250"/>
      <c r="B878" s="24" t="s">
        <v>25</v>
      </c>
      <c r="C878" s="22">
        <v>561</v>
      </c>
      <c r="D878" s="86">
        <f>QUOTIENT(21836900000000,1000000)</f>
        <v>21836900</v>
      </c>
      <c r="E878" s="86">
        <f>QUOTIENT(1635904400000,1000000)</f>
        <v>1635904</v>
      </c>
      <c r="F878" s="87">
        <f>QUOTIENT(9581384100000,1000000)</f>
        <v>9581384</v>
      </c>
      <c r="G878" s="87">
        <f>QUOTIENT(10567316500000,1000000)</f>
        <v>10567316</v>
      </c>
      <c r="H878" s="88">
        <f>QUOTIENT(52295000000,1000000)</f>
        <v>52295</v>
      </c>
    </row>
    <row r="879" spans="1:8" ht="21.75" customHeight="1" x14ac:dyDescent="0.15">
      <c r="A879" s="250"/>
      <c r="B879" s="23" t="s">
        <v>24</v>
      </c>
      <c r="C879" s="22">
        <v>2110</v>
      </c>
      <c r="D879" s="86">
        <f>QUOTIENT(57637600000000,1000000)</f>
        <v>57637600</v>
      </c>
      <c r="E879" s="86">
        <f>QUOTIENT(7534790900000,1000000)</f>
        <v>7534790</v>
      </c>
      <c r="F879" s="87">
        <f>QUOTIENT(20136916100000,1000000)</f>
        <v>20136916</v>
      </c>
      <c r="G879" s="87">
        <f>QUOTIENT(29961143000000,1000000)</f>
        <v>29961143</v>
      </c>
      <c r="H879" s="88">
        <f>QUOTIENT(4750000000,1000000)</f>
        <v>4750</v>
      </c>
    </row>
    <row r="880" spans="1:8" ht="21.75" customHeight="1" x14ac:dyDescent="0.15">
      <c r="A880" s="250"/>
      <c r="B880" s="23" t="s">
        <v>23</v>
      </c>
      <c r="C880" s="22">
        <v>495</v>
      </c>
      <c r="D880" s="86">
        <f>QUOTIENT(5104956000000,1000000)</f>
        <v>5104956</v>
      </c>
      <c r="E880" s="86">
        <f>QUOTIENT(323252700000,1000000)</f>
        <v>323252</v>
      </c>
      <c r="F880" s="87">
        <f>QUOTIENT(101540900000,1000000)</f>
        <v>101540</v>
      </c>
      <c r="G880" s="87">
        <f>QUOTIENT(4680162400000,1000000)</f>
        <v>4680162</v>
      </c>
      <c r="H880" s="88">
        <f>QUOTIENT(0,1000000)</f>
        <v>0</v>
      </c>
    </row>
    <row r="881" spans="1:8" ht="21.75" customHeight="1" x14ac:dyDescent="0.15">
      <c r="A881" s="250"/>
      <c r="B881" s="23" t="s">
        <v>22</v>
      </c>
      <c r="C881" s="22">
        <v>164</v>
      </c>
      <c r="D881" s="86">
        <f>QUOTIENT(1316300000000,1000000)</f>
        <v>1316300</v>
      </c>
      <c r="E881" s="86">
        <f>QUOTIENT(331720000000,1000000)</f>
        <v>331720</v>
      </c>
      <c r="F881" s="87">
        <f>QUOTIENT(472900000000,1000000)</f>
        <v>472900</v>
      </c>
      <c r="G881" s="87">
        <f>QUOTIENT(511680000000,1000000)</f>
        <v>511680</v>
      </c>
      <c r="H881" s="88">
        <f>QUOTIENT(0,1000000)</f>
        <v>0</v>
      </c>
    </row>
    <row r="882" spans="1:8" ht="21.75" customHeight="1" x14ac:dyDescent="0.15">
      <c r="A882" s="250"/>
      <c r="B882" s="23" t="s">
        <v>21</v>
      </c>
      <c r="C882" s="22">
        <v>21</v>
      </c>
      <c r="D882" s="86">
        <f>QUOTIENT(133500000000,1000000)</f>
        <v>133500</v>
      </c>
      <c r="E882" s="86">
        <f>QUOTIENT(110493000000,1000000)</f>
        <v>110493</v>
      </c>
      <c r="F882" s="87">
        <f>QUOTIENT(13245000000,1000000)</f>
        <v>13245</v>
      </c>
      <c r="G882" s="87">
        <f>QUOTIENT(9762000000,1000000)</f>
        <v>9762</v>
      </c>
      <c r="H882" s="88">
        <f>QUOTIENT(0,1000000)</f>
        <v>0</v>
      </c>
    </row>
    <row r="883" spans="1:8" ht="21.75" customHeight="1" x14ac:dyDescent="0.15">
      <c r="A883" s="250"/>
      <c r="B883" s="23" t="s">
        <v>20</v>
      </c>
      <c r="C883" s="22">
        <v>0</v>
      </c>
      <c r="D883" s="86">
        <f>QUOTIENT(0,1000000)</f>
        <v>0</v>
      </c>
      <c r="E883" s="86">
        <f>QUOTIENT(0,1000000)</f>
        <v>0</v>
      </c>
      <c r="F883" s="87">
        <f>QUOTIENT(0,1000000)</f>
        <v>0</v>
      </c>
      <c r="G883" s="87">
        <f>QUOTIENT(0,1000000)</f>
        <v>0</v>
      </c>
      <c r="H883" s="88">
        <f>QUOTIENT(0,1000000)</f>
        <v>0</v>
      </c>
    </row>
    <row r="884" spans="1:8" ht="21.75" customHeight="1" x14ac:dyDescent="0.15">
      <c r="A884" s="250"/>
      <c r="B884" s="23" t="s">
        <v>19</v>
      </c>
      <c r="C884" s="22">
        <v>212</v>
      </c>
      <c r="D884" s="86">
        <f>QUOTIENT(5171930000000,1000000)</f>
        <v>5171930</v>
      </c>
      <c r="E884" s="86">
        <f>QUOTIENT(582390000000,1000000)</f>
        <v>582390</v>
      </c>
      <c r="F884" s="87">
        <f>QUOTIENT(2588840000000,1000000)</f>
        <v>2588840</v>
      </c>
      <c r="G884" s="87">
        <f>QUOTIENT(1951140000000,1000000)</f>
        <v>1951140</v>
      </c>
      <c r="H884" s="88">
        <f>QUOTIENT(49560000000,1000000)</f>
        <v>49560</v>
      </c>
    </row>
    <row r="885" spans="1:8" ht="21.75" customHeight="1" x14ac:dyDescent="0.15">
      <c r="A885" s="250"/>
      <c r="B885" s="23" t="s">
        <v>18</v>
      </c>
      <c r="C885" s="22">
        <v>4067</v>
      </c>
      <c r="D885" s="86">
        <f>QUOTIENT(83642078000000,1000000)</f>
        <v>83642078</v>
      </c>
      <c r="E885" s="86">
        <f>QUOTIENT(19746978500000,1000000)</f>
        <v>19746978</v>
      </c>
      <c r="F885" s="87">
        <f>QUOTIENT(33020663900000,1000000)</f>
        <v>33020663</v>
      </c>
      <c r="G885" s="87">
        <f>QUOTIENT(30215024400000,1000000)</f>
        <v>30215024</v>
      </c>
      <c r="H885" s="88">
        <f>QUOTIENT(659411200000,1000000)</f>
        <v>659411</v>
      </c>
    </row>
    <row r="886" spans="1:8" ht="21.75" customHeight="1" x14ac:dyDescent="0.15">
      <c r="A886" s="250"/>
      <c r="B886" s="23" t="s">
        <v>17</v>
      </c>
      <c r="C886" s="22">
        <v>755</v>
      </c>
      <c r="D886" s="86">
        <f>QUOTIENT(17415460000000,1000000)</f>
        <v>17415460</v>
      </c>
      <c r="E886" s="86">
        <f>QUOTIENT(4097441800000,1000000)</f>
        <v>4097441</v>
      </c>
      <c r="F886" s="87">
        <f>QUOTIENT(7560921700000,1000000)</f>
        <v>7560921</v>
      </c>
      <c r="G886" s="87">
        <f>QUOTIENT(5703276300000,1000000)</f>
        <v>5703276</v>
      </c>
      <c r="H886" s="88">
        <f>QUOTIENT(53820200000,1000000)</f>
        <v>53820</v>
      </c>
    </row>
    <row r="887" spans="1:8" ht="21.75" customHeight="1" x14ac:dyDescent="0.15">
      <c r="A887" s="250"/>
      <c r="B887" s="23" t="s">
        <v>16</v>
      </c>
      <c r="C887" s="22">
        <v>64123</v>
      </c>
      <c r="D887" s="86">
        <f>QUOTIENT(15864088350000,1000000)</f>
        <v>15864088</v>
      </c>
      <c r="E887" s="86">
        <f>QUOTIENT(4419364196000,1000000)</f>
        <v>4419364</v>
      </c>
      <c r="F887" s="87">
        <f>QUOTIENT(4899791414000,1000000)</f>
        <v>4899791</v>
      </c>
      <c r="G887" s="87">
        <f>QUOTIENT(6516052740000,1000000)</f>
        <v>6516052</v>
      </c>
      <c r="H887" s="88">
        <f>QUOTIENT(28880000000,1000000)</f>
        <v>28880</v>
      </c>
    </row>
    <row r="888" spans="1:8" ht="21.75" customHeight="1" x14ac:dyDescent="0.15">
      <c r="A888" s="250"/>
      <c r="B888" s="23" t="s">
        <v>15</v>
      </c>
      <c r="C888" s="22">
        <v>478</v>
      </c>
      <c r="D888" s="86">
        <f>QUOTIENT(4010119320000,1000000)</f>
        <v>4010119</v>
      </c>
      <c r="E888" s="86">
        <f>QUOTIENT(3404834596000,1000000)</f>
        <v>3404834</v>
      </c>
      <c r="F888" s="87">
        <f>QUOTIENT(500380784000,1000000)</f>
        <v>500380</v>
      </c>
      <c r="G888" s="87">
        <f>QUOTIENT(104658940000,1000000)</f>
        <v>104658</v>
      </c>
      <c r="H888" s="88">
        <f>QUOTIENT(245000000,1000000)</f>
        <v>245</v>
      </c>
    </row>
    <row r="889" spans="1:8" ht="21.75" customHeight="1" x14ac:dyDescent="0.15">
      <c r="A889" s="250"/>
      <c r="B889" s="23" t="s">
        <v>14</v>
      </c>
      <c r="C889" s="22">
        <v>33</v>
      </c>
      <c r="D889" s="86">
        <f>QUOTIENT(97700000000,1000000)</f>
        <v>97700</v>
      </c>
      <c r="E889" s="86">
        <f>QUOTIENT(19200000000,1000000)</f>
        <v>19200</v>
      </c>
      <c r="F889" s="87">
        <f>QUOTIENT(55400000000,1000000)</f>
        <v>55400</v>
      </c>
      <c r="G889" s="87">
        <f>QUOTIENT(23100000000,1000000)</f>
        <v>23100</v>
      </c>
      <c r="H889" s="88">
        <f>QUOTIENT(0,1000000)</f>
        <v>0</v>
      </c>
    </row>
    <row r="890" spans="1:8" ht="21.75" customHeight="1" x14ac:dyDescent="0.15">
      <c r="A890" s="250"/>
      <c r="B890" s="23" t="s">
        <v>13</v>
      </c>
      <c r="C890" s="22">
        <v>758</v>
      </c>
      <c r="D890" s="86">
        <f>QUOTIENT(3034819658000,1000000)</f>
        <v>3034819</v>
      </c>
      <c r="E890" s="86">
        <f>QUOTIENT(191015480000,1000000)</f>
        <v>191015</v>
      </c>
      <c r="F890" s="87">
        <f>QUOTIENT(1560590188000,1000000)</f>
        <v>1560590</v>
      </c>
      <c r="G890" s="87">
        <f>QUOTIENT(1283213990000,1000000)</f>
        <v>1283213</v>
      </c>
      <c r="H890" s="88">
        <f>QUOTIENT(0,1000000)</f>
        <v>0</v>
      </c>
    </row>
    <row r="891" spans="1:8" ht="21.75" customHeight="1" x14ac:dyDescent="0.15">
      <c r="A891" s="250"/>
      <c r="B891" s="23" t="s">
        <v>12</v>
      </c>
      <c r="C891" s="22">
        <v>267</v>
      </c>
      <c r="D891" s="86">
        <f>QUOTIENT(6936500000000,1000000)</f>
        <v>6936500</v>
      </c>
      <c r="E891" s="86">
        <f>QUOTIENT(1007028000000,1000000)</f>
        <v>1007028</v>
      </c>
      <c r="F891" s="87">
        <f>QUOTIENT(2171760000000,1000000)</f>
        <v>2171760</v>
      </c>
      <c r="G891" s="87">
        <f>QUOTIENT(3729212000000,1000000)</f>
        <v>3729212</v>
      </c>
      <c r="H891" s="88">
        <f>QUOTIENT(28500000000,1000000)</f>
        <v>28500</v>
      </c>
    </row>
    <row r="892" spans="1:8" ht="21.75" customHeight="1" x14ac:dyDescent="0.15">
      <c r="A892" s="250"/>
      <c r="B892" s="23" t="s">
        <v>11</v>
      </c>
      <c r="C892" s="22">
        <v>64</v>
      </c>
      <c r="D892" s="86">
        <f>QUOTIENT(1327150000000,1000000)</f>
        <v>1327150</v>
      </c>
      <c r="E892" s="86">
        <f>QUOTIENT(132100000000,1000000)</f>
        <v>132100</v>
      </c>
      <c r="F892" s="87">
        <f>QUOTIENT(579450000000,1000000)</f>
        <v>579450</v>
      </c>
      <c r="G892" s="87">
        <f>QUOTIENT(615600000000,1000000)</f>
        <v>615600</v>
      </c>
      <c r="H892" s="88">
        <f>QUOTIENT(0,1000000)</f>
        <v>0</v>
      </c>
    </row>
    <row r="893" spans="1:8" ht="21.75" customHeight="1" x14ac:dyDescent="0.15">
      <c r="A893" s="250"/>
      <c r="B893" s="23" t="s">
        <v>10</v>
      </c>
      <c r="C893" s="22">
        <v>0</v>
      </c>
      <c r="D893" s="86">
        <f t="shared" ref="D893:G895" si="24">QUOTIENT(0,1000000)</f>
        <v>0</v>
      </c>
      <c r="E893" s="86">
        <f t="shared" si="24"/>
        <v>0</v>
      </c>
      <c r="F893" s="87">
        <f t="shared" si="24"/>
        <v>0</v>
      </c>
      <c r="G893" s="87">
        <f t="shared" si="24"/>
        <v>0</v>
      </c>
      <c r="H893" s="88">
        <f>QUOTIENT(0,1000000)</f>
        <v>0</v>
      </c>
    </row>
    <row r="894" spans="1:8" ht="21.75" customHeight="1" x14ac:dyDescent="0.15">
      <c r="A894" s="250"/>
      <c r="B894" s="23" t="s">
        <v>9</v>
      </c>
      <c r="C894" s="22">
        <v>0</v>
      </c>
      <c r="D894" s="86">
        <f t="shared" si="24"/>
        <v>0</v>
      </c>
      <c r="E894" s="86">
        <f t="shared" si="24"/>
        <v>0</v>
      </c>
      <c r="F894" s="87">
        <f t="shared" si="24"/>
        <v>0</v>
      </c>
      <c r="G894" s="87">
        <f t="shared" si="24"/>
        <v>0</v>
      </c>
      <c r="H894" s="88">
        <f>QUOTIENT(0,1000000)</f>
        <v>0</v>
      </c>
    </row>
    <row r="895" spans="1:8" ht="21.75" customHeight="1" x14ac:dyDescent="0.15">
      <c r="A895" s="250"/>
      <c r="B895" s="23" t="s">
        <v>8</v>
      </c>
      <c r="C895" s="22">
        <v>0</v>
      </c>
      <c r="D895" s="86">
        <f t="shared" si="24"/>
        <v>0</v>
      </c>
      <c r="E895" s="86">
        <f t="shared" si="24"/>
        <v>0</v>
      </c>
      <c r="F895" s="87">
        <f t="shared" si="24"/>
        <v>0</v>
      </c>
      <c r="G895" s="87">
        <f t="shared" si="24"/>
        <v>0</v>
      </c>
      <c r="H895" s="88">
        <f>QUOTIENT(0,1000000)</f>
        <v>0</v>
      </c>
    </row>
    <row r="896" spans="1:8" ht="21.75" customHeight="1" x14ac:dyDescent="0.15">
      <c r="A896" s="251"/>
      <c r="B896" s="23" t="s">
        <v>7</v>
      </c>
      <c r="C896" s="22">
        <v>60</v>
      </c>
      <c r="D896" s="86">
        <f>QUOTIENT(19100000000,1000000)</f>
        <v>19100</v>
      </c>
      <c r="E896" s="86">
        <f>QUOTIENT(0,1000000)</f>
        <v>0</v>
      </c>
      <c r="F896" s="87">
        <f>QUOTIENT(14000000000,1000000)</f>
        <v>14000</v>
      </c>
      <c r="G896" s="87">
        <f>QUOTIENT(5100000000,1000000)</f>
        <v>5100</v>
      </c>
      <c r="H896" s="88">
        <f>QUOTIENT(0,1000000)</f>
        <v>0</v>
      </c>
    </row>
    <row r="897" spans="1:8" ht="21.75" customHeight="1" x14ac:dyDescent="0.15">
      <c r="A897" s="18" t="s">
        <v>6</v>
      </c>
      <c r="B897" s="17" t="s">
        <v>5</v>
      </c>
      <c r="C897" s="16">
        <v>3386</v>
      </c>
      <c r="D897" s="80">
        <v>28170542</v>
      </c>
      <c r="E897" s="80">
        <v>831200</v>
      </c>
      <c r="F897" s="81">
        <v>13606871</v>
      </c>
      <c r="G897" s="81">
        <v>11626740</v>
      </c>
      <c r="H897" s="82">
        <v>2105731</v>
      </c>
    </row>
    <row r="898" spans="1:8" ht="21.75" customHeight="1" x14ac:dyDescent="0.15">
      <c r="A898" s="252" t="s">
        <v>4</v>
      </c>
      <c r="B898" s="12" t="s">
        <v>3</v>
      </c>
      <c r="C898" s="11">
        <v>5696</v>
      </c>
      <c r="D898" s="89">
        <f>QUOTIENT(100382254874787,1000000)</f>
        <v>100382254</v>
      </c>
      <c r="E898" s="89">
        <f>QUOTIENT(62659312123536,1000000)</f>
        <v>62659312</v>
      </c>
      <c r="F898" s="90">
        <f>QUOTIENT(17350674228028,1000000)</f>
        <v>17350674</v>
      </c>
      <c r="G898" s="90">
        <f>QUOTIENT(12641863539175,1000000)</f>
        <v>12641863</v>
      </c>
      <c r="H898" s="91">
        <f>QUOTIENT(7730404984048,1000000)</f>
        <v>7730404</v>
      </c>
    </row>
    <row r="899" spans="1:8" ht="21.75" customHeight="1" thickBot="1" x14ac:dyDescent="0.2">
      <c r="A899" s="253"/>
      <c r="B899" s="7" t="s">
        <v>1153</v>
      </c>
      <c r="C899" s="6">
        <v>8381</v>
      </c>
      <c r="D899" s="92" t="s">
        <v>2178</v>
      </c>
      <c r="E899" s="92" t="s">
        <v>2178</v>
      </c>
      <c r="F899" s="92" t="s">
        <v>2178</v>
      </c>
      <c r="G899" s="92" t="s">
        <v>2178</v>
      </c>
      <c r="H899" s="93" t="s">
        <v>2178</v>
      </c>
    </row>
    <row r="900" spans="1:8" ht="18" customHeight="1" x14ac:dyDescent="0.15">
      <c r="A900" s="3" t="s">
        <v>1155</v>
      </c>
      <c r="B900" s="2"/>
      <c r="C900" s="2"/>
      <c r="D900" s="2"/>
      <c r="E900" s="2"/>
      <c r="F900" s="2"/>
      <c r="G900" s="2"/>
      <c r="H900" s="2"/>
    </row>
    <row r="901" spans="1:8" ht="18" customHeight="1" x14ac:dyDescent="0.15">
      <c r="A901" s="3" t="s">
        <v>2587</v>
      </c>
      <c r="B901" s="2"/>
      <c r="C901" s="2"/>
      <c r="D901" s="2"/>
      <c r="E901" s="2"/>
      <c r="F901" s="2"/>
      <c r="G901" s="2"/>
      <c r="H901" s="2"/>
    </row>
    <row r="902" spans="1:8" ht="18" customHeight="1" x14ac:dyDescent="0.15">
      <c r="A902" s="3" t="s">
        <v>1156</v>
      </c>
      <c r="B902" s="2"/>
      <c r="C902" s="2"/>
      <c r="D902" s="2"/>
      <c r="E902" s="2"/>
      <c r="F902" s="2"/>
      <c r="G902" s="2"/>
      <c r="H902" s="2"/>
    </row>
    <row r="903" spans="1:8" ht="18" customHeight="1" x14ac:dyDescent="0.15">
      <c r="A903" s="3" t="s">
        <v>2511</v>
      </c>
      <c r="B903" s="2"/>
      <c r="C903" s="2"/>
      <c r="D903" s="2"/>
      <c r="E903" s="2"/>
      <c r="F903" s="2"/>
      <c r="G903" s="2"/>
      <c r="H903" s="2"/>
    </row>
    <row r="904" spans="1:8" ht="24" x14ac:dyDescent="0.15">
      <c r="A904" s="230" t="s">
        <v>2508</v>
      </c>
      <c r="B904" s="230"/>
      <c r="C904" s="230"/>
      <c r="D904" s="230"/>
      <c r="E904" s="230"/>
      <c r="F904" s="230"/>
      <c r="G904" s="230"/>
      <c r="H904" s="230"/>
    </row>
    <row r="905" spans="1:8" ht="18" customHeight="1" x14ac:dyDescent="0.15">
      <c r="A905" s="231"/>
      <c r="B905" s="231"/>
      <c r="C905" s="231"/>
      <c r="D905" s="231"/>
      <c r="E905" s="231"/>
      <c r="F905" s="231"/>
      <c r="G905" s="231"/>
      <c r="H905" s="231"/>
    </row>
    <row r="906" spans="1:8" thickBot="1" x14ac:dyDescent="0.2">
      <c r="A906" s="58" t="s">
        <v>48</v>
      </c>
    </row>
    <row r="907" spans="1:8" ht="18" customHeight="1" x14ac:dyDescent="0.15">
      <c r="A907" s="232" t="s">
        <v>47</v>
      </c>
      <c r="B907" s="235" t="s">
        <v>46</v>
      </c>
      <c r="C907" s="238" t="s">
        <v>45</v>
      </c>
      <c r="D907" s="241" t="s">
        <v>44</v>
      </c>
      <c r="E907" s="149"/>
      <c r="F907" s="56"/>
      <c r="G907" s="56"/>
      <c r="H907" s="55"/>
    </row>
    <row r="908" spans="1:8" ht="18" customHeight="1" x14ac:dyDescent="0.15">
      <c r="A908" s="233"/>
      <c r="B908" s="236"/>
      <c r="C908" s="239"/>
      <c r="D908" s="242"/>
      <c r="E908" s="244" t="s">
        <v>43</v>
      </c>
      <c r="F908" s="246" t="s">
        <v>42</v>
      </c>
      <c r="G908" s="246" t="s">
        <v>41</v>
      </c>
      <c r="H908" s="248" t="s">
        <v>40</v>
      </c>
    </row>
    <row r="909" spans="1:8" ht="18" customHeight="1" thickBot="1" x14ac:dyDescent="0.2">
      <c r="A909" s="234"/>
      <c r="B909" s="237"/>
      <c r="C909" s="240"/>
      <c r="D909" s="243"/>
      <c r="E909" s="245"/>
      <c r="F909" s="247"/>
      <c r="G909" s="247"/>
      <c r="H909" s="249"/>
    </row>
    <row r="910" spans="1:8" s="60" customFormat="1" ht="18" customHeight="1" thickTop="1" x14ac:dyDescent="0.15">
      <c r="A910" s="150"/>
      <c r="B910" s="151"/>
      <c r="C910" s="52"/>
      <c r="D910" s="51" t="s">
        <v>39</v>
      </c>
      <c r="E910" s="50" t="s">
        <v>39</v>
      </c>
      <c r="F910" s="49" t="s">
        <v>39</v>
      </c>
      <c r="G910" s="49" t="s">
        <v>39</v>
      </c>
      <c r="H910" s="48" t="s">
        <v>39</v>
      </c>
    </row>
    <row r="911" spans="1:8" ht="21.75" customHeight="1" x14ac:dyDescent="0.15">
      <c r="A911" s="250" t="s">
        <v>38</v>
      </c>
      <c r="B911" s="61" t="s">
        <v>37</v>
      </c>
      <c r="C911" s="62">
        <v>3930</v>
      </c>
      <c r="D911" s="63">
        <f>QUOTIENT(708387879773425,1000000)</f>
        <v>708387879</v>
      </c>
      <c r="E911" s="63">
        <f>QUOTIENT(256990260669412,1000000)</f>
        <v>256990260</v>
      </c>
      <c r="F911" s="64">
        <f>QUOTIENT(222018420046261,1000000)</f>
        <v>222018420</v>
      </c>
      <c r="G911" s="64">
        <f>QUOTIENT(219401304687004,1000000)</f>
        <v>219401304</v>
      </c>
      <c r="H911" s="65">
        <f>QUOTIENT(9977894370746,1000000)</f>
        <v>9977894</v>
      </c>
    </row>
    <row r="912" spans="1:8" ht="21.75" customHeight="1" x14ac:dyDescent="0.15">
      <c r="A912" s="250"/>
      <c r="B912" s="66" t="s">
        <v>36</v>
      </c>
      <c r="C912" s="67">
        <v>18</v>
      </c>
      <c r="D912" s="68">
        <f>QUOTIENT(79617792000,1000000)</f>
        <v>79617</v>
      </c>
      <c r="E912" s="68">
        <f>QUOTIENT(22952142000,1000000)</f>
        <v>22952</v>
      </c>
      <c r="F912" s="69">
        <f>QUOTIENT(55011522500,1000000)</f>
        <v>55011</v>
      </c>
      <c r="G912" s="69">
        <f>QUOTIENT(1653134500,1000000)</f>
        <v>1653</v>
      </c>
      <c r="H912" s="115">
        <f>QUOTIENT(993000,1000000)</f>
        <v>0</v>
      </c>
    </row>
    <row r="913" spans="1:8" ht="21.75" customHeight="1" x14ac:dyDescent="0.15">
      <c r="A913" s="250"/>
      <c r="B913" s="66" t="s">
        <v>35</v>
      </c>
      <c r="C913" s="67">
        <v>102</v>
      </c>
      <c r="D913" s="68">
        <f>QUOTIENT(0,1000000)</f>
        <v>0</v>
      </c>
      <c r="E913" s="68">
        <f>QUOTIENT(0,1000000)</f>
        <v>0</v>
      </c>
      <c r="F913" s="69">
        <f>QUOTIENT(0,1000000)</f>
        <v>0</v>
      </c>
      <c r="G913" s="69">
        <f>QUOTIENT(0,1000000)</f>
        <v>0</v>
      </c>
      <c r="H913" s="70">
        <f>QUOTIENT(0,1000000)</f>
        <v>0</v>
      </c>
    </row>
    <row r="914" spans="1:8" ht="21.75" customHeight="1" x14ac:dyDescent="0.15">
      <c r="A914" s="250"/>
      <c r="B914" s="71" t="s">
        <v>34</v>
      </c>
      <c r="C914" s="72">
        <v>1</v>
      </c>
      <c r="D914" s="73">
        <f>QUOTIENT(172452057000,1000000)</f>
        <v>172452</v>
      </c>
      <c r="E914" s="73">
        <f>QUOTIENT(128189601000,1000000)</f>
        <v>128189</v>
      </c>
      <c r="F914" s="74">
        <f>QUOTIENT(8456024500,1000000)</f>
        <v>8456</v>
      </c>
      <c r="G914" s="74">
        <f>QUOTIENT(31497212000,1000000)</f>
        <v>31497</v>
      </c>
      <c r="H914" s="75">
        <f>QUOTIENT(4309219500,1000000)</f>
        <v>4309</v>
      </c>
    </row>
    <row r="915" spans="1:8" ht="21.75" customHeight="1" x14ac:dyDescent="0.15">
      <c r="A915" s="250"/>
      <c r="B915" s="66" t="s">
        <v>33</v>
      </c>
      <c r="C915" s="67">
        <v>68</v>
      </c>
      <c r="D915" s="68">
        <f>QUOTIENT(16492151837600,1000000)</f>
        <v>16492151</v>
      </c>
      <c r="E915" s="68">
        <f>QUOTIENT(4016265548100,1000000)</f>
        <v>4016265</v>
      </c>
      <c r="F915" s="69">
        <f>QUOTIENT(4804114452400,1000000)</f>
        <v>4804114</v>
      </c>
      <c r="G915" s="69">
        <f>QUOTIENT(7519710653100,1000000)</f>
        <v>7519710</v>
      </c>
      <c r="H915" s="70">
        <f>QUOTIENT(152061184000,1000000)</f>
        <v>152061</v>
      </c>
    </row>
    <row r="916" spans="1:8" ht="21.75" customHeight="1" x14ac:dyDescent="0.15">
      <c r="A916" s="250"/>
      <c r="B916" s="76" t="s">
        <v>32</v>
      </c>
      <c r="C916" s="67">
        <v>228</v>
      </c>
      <c r="D916" s="68">
        <f>QUOTIENT(59654538648923,1000000)</f>
        <v>59654538</v>
      </c>
      <c r="E916" s="68">
        <f>QUOTIENT(5210810174233,1000000)</f>
        <v>5210810</v>
      </c>
      <c r="F916" s="69">
        <f>QUOTIENT(1573018523344,1000000)</f>
        <v>1573018</v>
      </c>
      <c r="G916" s="69">
        <f>QUOTIENT(52672199864103,1000000)</f>
        <v>52672199</v>
      </c>
      <c r="H916" s="70">
        <f>QUOTIENT(198510087241,1000000)</f>
        <v>198510</v>
      </c>
    </row>
    <row r="917" spans="1:8" ht="21.75" customHeight="1" x14ac:dyDescent="0.15">
      <c r="A917" s="251"/>
      <c r="B917" s="77" t="s">
        <v>31</v>
      </c>
      <c r="C917" s="72">
        <v>45</v>
      </c>
      <c r="D917" s="73">
        <f>QUOTIENT(491676643997,1000000)</f>
        <v>491676</v>
      </c>
      <c r="E917" s="73">
        <f>QUOTIENT(361526056251,1000000)</f>
        <v>361526</v>
      </c>
      <c r="F917" s="74">
        <f>QUOTIENT(15107908767,1000000)</f>
        <v>15107</v>
      </c>
      <c r="G917" s="74">
        <f>QUOTIENT(98921596810,1000000)</f>
        <v>98921</v>
      </c>
      <c r="H917" s="75">
        <f>QUOTIENT(16121082168,1000000)</f>
        <v>16121</v>
      </c>
    </row>
    <row r="918" spans="1:8" ht="21.75" customHeight="1" x14ac:dyDescent="0.15">
      <c r="A918" s="30" t="s">
        <v>30</v>
      </c>
      <c r="B918" s="78" t="s">
        <v>29</v>
      </c>
      <c r="C918" s="79">
        <v>27</v>
      </c>
      <c r="D918" s="80">
        <f>QUOTIENT(144878615282,1000000)</f>
        <v>144878</v>
      </c>
      <c r="E918" s="80">
        <f>QUOTIENT(130882865909,1000000)</f>
        <v>130882</v>
      </c>
      <c r="F918" s="81">
        <f>QUOTIENT(1449662390,1000000)</f>
        <v>1449</v>
      </c>
      <c r="G918" s="81">
        <f>QUOTIENT(226091680,1000000)</f>
        <v>226</v>
      </c>
      <c r="H918" s="82">
        <f>QUOTIENT(12319995303,1000000)</f>
        <v>12319</v>
      </c>
    </row>
    <row r="919" spans="1:8" ht="21.75" customHeight="1" x14ac:dyDescent="0.15">
      <c r="A919" s="252" t="s">
        <v>28</v>
      </c>
      <c r="B919" s="17" t="s">
        <v>27</v>
      </c>
      <c r="C919" s="16">
        <v>3401</v>
      </c>
      <c r="D919" s="83">
        <f>QUOTIENT(64719816570000,1000000)</f>
        <v>64719816</v>
      </c>
      <c r="E919" s="83">
        <f>QUOTIENT(10021112980000,1000000)</f>
        <v>10021112</v>
      </c>
      <c r="F919" s="84">
        <f>QUOTIENT(30292244310000,1000000)</f>
        <v>30292244</v>
      </c>
      <c r="G919" s="84">
        <f>QUOTIENT(24281009750000,1000000)</f>
        <v>24281009</v>
      </c>
      <c r="H919" s="85">
        <f>QUOTIENT(125449530000,1000000)</f>
        <v>125449</v>
      </c>
    </row>
    <row r="920" spans="1:8" ht="21.75" customHeight="1" x14ac:dyDescent="0.15">
      <c r="A920" s="250"/>
      <c r="B920" s="23" t="s">
        <v>26</v>
      </c>
      <c r="C920" s="22">
        <v>3574</v>
      </c>
      <c r="D920" s="86">
        <f>QUOTIENT(15395191604000,1000000)</f>
        <v>15395191</v>
      </c>
      <c r="E920" s="86">
        <f>QUOTIENT(497002236000,1000000)</f>
        <v>497002</v>
      </c>
      <c r="F920" s="87">
        <f>QUOTIENT(10243456353000,1000000)</f>
        <v>10243456</v>
      </c>
      <c r="G920" s="87">
        <f>QUOTIENT(4643796015000,1000000)</f>
        <v>4643796</v>
      </c>
      <c r="H920" s="88">
        <f>QUOTIENT(10937000000,1000000)</f>
        <v>10937</v>
      </c>
    </row>
    <row r="921" spans="1:8" ht="21.75" customHeight="1" x14ac:dyDescent="0.15">
      <c r="A921" s="250"/>
      <c r="B921" s="24" t="s">
        <v>25</v>
      </c>
      <c r="C921" s="22">
        <v>564</v>
      </c>
      <c r="D921" s="86">
        <f>QUOTIENT(22126900000000,1000000)</f>
        <v>22126900</v>
      </c>
      <c r="E921" s="86">
        <f>QUOTIENT(1622372100000,1000000)</f>
        <v>1622372</v>
      </c>
      <c r="F921" s="87">
        <f>QUOTIENT(9594840900000,1000000)</f>
        <v>9594840</v>
      </c>
      <c r="G921" s="87">
        <f>QUOTIENT(10860592000000,1000000)</f>
        <v>10860592</v>
      </c>
      <c r="H921" s="88">
        <f>QUOTIENT(49095000000,1000000)</f>
        <v>49095</v>
      </c>
    </row>
    <row r="922" spans="1:8" ht="21.75" customHeight="1" x14ac:dyDescent="0.15">
      <c r="A922" s="250"/>
      <c r="B922" s="23" t="s">
        <v>24</v>
      </c>
      <c r="C922" s="22">
        <v>2090</v>
      </c>
      <c r="D922" s="86">
        <f>QUOTIENT(57277100000000,1000000)</f>
        <v>57277100</v>
      </c>
      <c r="E922" s="86">
        <f>QUOTIENT(7427891900000,1000000)</f>
        <v>7427891</v>
      </c>
      <c r="F922" s="87">
        <f>QUOTIENT(19952610400000,1000000)</f>
        <v>19952610</v>
      </c>
      <c r="G922" s="87">
        <f>QUOTIENT(29891847700000,1000000)</f>
        <v>29891847</v>
      </c>
      <c r="H922" s="88">
        <f>QUOTIENT(4750000000,1000000)</f>
        <v>4750</v>
      </c>
    </row>
    <row r="923" spans="1:8" ht="21.75" customHeight="1" x14ac:dyDescent="0.15">
      <c r="A923" s="250"/>
      <c r="B923" s="23" t="s">
        <v>23</v>
      </c>
      <c r="C923" s="22">
        <v>492</v>
      </c>
      <c r="D923" s="86">
        <f>QUOTIENT(5080956000000,1000000)</f>
        <v>5080956</v>
      </c>
      <c r="E923" s="86">
        <f>QUOTIENT(322334800000,1000000)</f>
        <v>322334</v>
      </c>
      <c r="F923" s="87">
        <f>QUOTIENT(101054900000,1000000)</f>
        <v>101054</v>
      </c>
      <c r="G923" s="87">
        <f>QUOTIENT(4657566300000,1000000)</f>
        <v>4657566</v>
      </c>
      <c r="H923" s="88">
        <f>QUOTIENT(0,1000000)</f>
        <v>0</v>
      </c>
    </row>
    <row r="924" spans="1:8" ht="21.75" customHeight="1" x14ac:dyDescent="0.15">
      <c r="A924" s="250"/>
      <c r="B924" s="23" t="s">
        <v>22</v>
      </c>
      <c r="C924" s="22">
        <v>164</v>
      </c>
      <c r="D924" s="86">
        <f>QUOTIENT(1316300000000,1000000)</f>
        <v>1316300</v>
      </c>
      <c r="E924" s="86">
        <f>QUOTIENT(332670000000,1000000)</f>
        <v>332670</v>
      </c>
      <c r="F924" s="87">
        <f>QUOTIENT(472200000000,1000000)</f>
        <v>472200</v>
      </c>
      <c r="G924" s="87">
        <f>QUOTIENT(511430000000,1000000)</f>
        <v>511430</v>
      </c>
      <c r="H924" s="88">
        <f>QUOTIENT(0,1000000)</f>
        <v>0</v>
      </c>
    </row>
    <row r="925" spans="1:8" ht="21.75" customHeight="1" x14ac:dyDescent="0.15">
      <c r="A925" s="250"/>
      <c r="B925" s="23" t="s">
        <v>21</v>
      </c>
      <c r="C925" s="22">
        <v>21</v>
      </c>
      <c r="D925" s="86">
        <f>QUOTIENT(133500000000,1000000)</f>
        <v>133500</v>
      </c>
      <c r="E925" s="86">
        <f>QUOTIENT(110493000000,1000000)</f>
        <v>110493</v>
      </c>
      <c r="F925" s="87">
        <f>QUOTIENT(13245000000,1000000)</f>
        <v>13245</v>
      </c>
      <c r="G925" s="87">
        <f>QUOTIENT(9762000000,1000000)</f>
        <v>9762</v>
      </c>
      <c r="H925" s="88">
        <f>QUOTIENT(0,1000000)</f>
        <v>0</v>
      </c>
    </row>
    <row r="926" spans="1:8" ht="21.75" customHeight="1" x14ac:dyDescent="0.15">
      <c r="A926" s="250"/>
      <c r="B926" s="23" t="s">
        <v>20</v>
      </c>
      <c r="C926" s="22">
        <v>0</v>
      </c>
      <c r="D926" s="86">
        <f>QUOTIENT(0,1000000)</f>
        <v>0</v>
      </c>
      <c r="E926" s="86">
        <f>QUOTIENT(0,1000000)</f>
        <v>0</v>
      </c>
      <c r="F926" s="87">
        <f>QUOTIENT(0,1000000)</f>
        <v>0</v>
      </c>
      <c r="G926" s="87">
        <f>QUOTIENT(0,1000000)</f>
        <v>0</v>
      </c>
      <c r="H926" s="88">
        <f>QUOTIENT(0,1000000)</f>
        <v>0</v>
      </c>
    </row>
    <row r="927" spans="1:8" ht="21.75" customHeight="1" x14ac:dyDescent="0.15">
      <c r="A927" s="250"/>
      <c r="B927" s="23" t="s">
        <v>19</v>
      </c>
      <c r="C927" s="22">
        <v>213</v>
      </c>
      <c r="D927" s="86">
        <f>QUOTIENT(5214950000000,1000000)</f>
        <v>5214950</v>
      </c>
      <c r="E927" s="86">
        <f>QUOTIENT(582390000000,1000000)</f>
        <v>582390</v>
      </c>
      <c r="F927" s="87">
        <f>QUOTIENT(2607170000000,1000000)</f>
        <v>2607170</v>
      </c>
      <c r="G927" s="87">
        <f>QUOTIENT(1892580000000,1000000)</f>
        <v>1892580</v>
      </c>
      <c r="H927" s="88">
        <f>QUOTIENT(132810000000,1000000)</f>
        <v>132810</v>
      </c>
    </row>
    <row r="928" spans="1:8" ht="21.75" customHeight="1" x14ac:dyDescent="0.15">
      <c r="A928" s="250"/>
      <c r="B928" s="23" t="s">
        <v>18</v>
      </c>
      <c r="C928" s="22">
        <v>4040</v>
      </c>
      <c r="D928" s="86">
        <f>QUOTIENT(82986858500000,1000000)</f>
        <v>82986858</v>
      </c>
      <c r="E928" s="86">
        <f>QUOTIENT(19455015200000,1000000)</f>
        <v>19455015</v>
      </c>
      <c r="F928" s="87">
        <f>QUOTIENT(33018674700000,1000000)</f>
        <v>33018674</v>
      </c>
      <c r="G928" s="87">
        <f>QUOTIENT(29870688400000,1000000)</f>
        <v>29870688</v>
      </c>
      <c r="H928" s="88">
        <f>QUOTIENT(642480200000,1000000)</f>
        <v>642480</v>
      </c>
    </row>
    <row r="929" spans="1:8" ht="21.75" customHeight="1" x14ac:dyDescent="0.15">
      <c r="A929" s="250"/>
      <c r="B929" s="23" t="s">
        <v>17</v>
      </c>
      <c r="C929" s="22">
        <v>739</v>
      </c>
      <c r="D929" s="86">
        <f>QUOTIENT(17156660000000,1000000)</f>
        <v>17156660</v>
      </c>
      <c r="E929" s="86">
        <f>QUOTIENT(3978420000000,1000000)</f>
        <v>3978420</v>
      </c>
      <c r="F929" s="87">
        <f>QUOTIENT(7461160500000,1000000)</f>
        <v>7461160</v>
      </c>
      <c r="G929" s="87">
        <f>QUOTIENT(5664359300000,1000000)</f>
        <v>5664359</v>
      </c>
      <c r="H929" s="88">
        <f>QUOTIENT(52720200000,1000000)</f>
        <v>52720</v>
      </c>
    </row>
    <row r="930" spans="1:8" ht="21.75" customHeight="1" x14ac:dyDescent="0.15">
      <c r="A930" s="250"/>
      <c r="B930" s="23" t="s">
        <v>16</v>
      </c>
      <c r="C930" s="22">
        <v>64026</v>
      </c>
      <c r="D930" s="86">
        <f>QUOTIENT(15850490650000,1000000)</f>
        <v>15850490</v>
      </c>
      <c r="E930" s="86">
        <f>QUOTIENT(4409938896000,1000000)</f>
        <v>4409938</v>
      </c>
      <c r="F930" s="87">
        <f>QUOTIENT(4902889914000,1000000)</f>
        <v>4902889</v>
      </c>
      <c r="G930" s="87">
        <f>QUOTIENT(6509271840000,1000000)</f>
        <v>6509271</v>
      </c>
      <c r="H930" s="88">
        <f>QUOTIENT(28390000000,1000000)</f>
        <v>28390</v>
      </c>
    </row>
    <row r="931" spans="1:8" ht="21.75" customHeight="1" x14ac:dyDescent="0.15">
      <c r="A931" s="250"/>
      <c r="B931" s="23" t="s">
        <v>15</v>
      </c>
      <c r="C931" s="22">
        <v>478</v>
      </c>
      <c r="D931" s="86">
        <f>QUOTIENT(4005439620000,1000000)</f>
        <v>4005439</v>
      </c>
      <c r="E931" s="86">
        <f>QUOTIENT(3399409296000,1000000)</f>
        <v>3399409</v>
      </c>
      <c r="F931" s="87">
        <f>QUOTIENT(500300784000,1000000)</f>
        <v>500300</v>
      </c>
      <c r="G931" s="87">
        <f>QUOTIENT(105484540000,1000000)</f>
        <v>105484</v>
      </c>
      <c r="H931" s="88">
        <f>QUOTIENT(245000000,1000000)</f>
        <v>245</v>
      </c>
    </row>
    <row r="932" spans="1:8" ht="21.75" customHeight="1" x14ac:dyDescent="0.15">
      <c r="A932" s="250"/>
      <c r="B932" s="23" t="s">
        <v>14</v>
      </c>
      <c r="C932" s="22">
        <v>34</v>
      </c>
      <c r="D932" s="86">
        <f>QUOTIENT(100700000000,1000000)</f>
        <v>100700</v>
      </c>
      <c r="E932" s="86">
        <f>QUOTIENT(19800000000,1000000)</f>
        <v>19800</v>
      </c>
      <c r="F932" s="87">
        <f>QUOTIENT(57400000000,1000000)</f>
        <v>57400</v>
      </c>
      <c r="G932" s="87">
        <f>QUOTIENT(23500000000,1000000)</f>
        <v>23500</v>
      </c>
      <c r="H932" s="88">
        <f>QUOTIENT(0,1000000)</f>
        <v>0</v>
      </c>
    </row>
    <row r="933" spans="1:8" ht="21.75" customHeight="1" x14ac:dyDescent="0.15">
      <c r="A933" s="250"/>
      <c r="B933" s="23" t="s">
        <v>13</v>
      </c>
      <c r="C933" s="22">
        <v>744</v>
      </c>
      <c r="D933" s="86">
        <f>QUOTIENT(3020037230000,1000000)</f>
        <v>3020037</v>
      </c>
      <c r="E933" s="86">
        <f>QUOTIENT(180415480000,1000000)</f>
        <v>180415</v>
      </c>
      <c r="F933" s="87">
        <f>QUOTIENT(1561207760000,1000000)</f>
        <v>1561207</v>
      </c>
      <c r="G933" s="87">
        <f>QUOTIENT(1278413990000,1000000)</f>
        <v>1278413</v>
      </c>
      <c r="H933" s="88">
        <f>QUOTIENT(0,1000000)</f>
        <v>0</v>
      </c>
    </row>
    <row r="934" spans="1:8" ht="21.75" customHeight="1" x14ac:dyDescent="0.15">
      <c r="A934" s="250"/>
      <c r="B934" s="23" t="s">
        <v>12</v>
      </c>
      <c r="C934" s="22">
        <v>269</v>
      </c>
      <c r="D934" s="86">
        <f>QUOTIENT(6915500000000,1000000)</f>
        <v>6915500</v>
      </c>
      <c r="E934" s="86">
        <f>QUOTIENT(962768000000,1000000)</f>
        <v>962768</v>
      </c>
      <c r="F934" s="87">
        <f>QUOTIENT(2202560000000,1000000)</f>
        <v>2202560</v>
      </c>
      <c r="G934" s="87">
        <f>QUOTIENT(3721672000000,1000000)</f>
        <v>3721672</v>
      </c>
      <c r="H934" s="88">
        <f>QUOTIENT(28500000000,1000000)</f>
        <v>28500</v>
      </c>
    </row>
    <row r="935" spans="1:8" ht="21.75" customHeight="1" x14ac:dyDescent="0.15">
      <c r="A935" s="250"/>
      <c r="B935" s="23" t="s">
        <v>11</v>
      </c>
      <c r="C935" s="22">
        <v>63</v>
      </c>
      <c r="D935" s="86">
        <f>QUOTIENT(1323150000000,1000000)</f>
        <v>1323150</v>
      </c>
      <c r="E935" s="86">
        <f>QUOTIENT(132100000000,1000000)</f>
        <v>132100</v>
      </c>
      <c r="F935" s="87">
        <f>QUOTIENT(575450000000,1000000)</f>
        <v>575450</v>
      </c>
      <c r="G935" s="87">
        <f>QUOTIENT(615600000000,1000000)</f>
        <v>615600</v>
      </c>
      <c r="H935" s="88">
        <f>QUOTIENT(0,1000000)</f>
        <v>0</v>
      </c>
    </row>
    <row r="936" spans="1:8" ht="21.75" customHeight="1" x14ac:dyDescent="0.15">
      <c r="A936" s="250"/>
      <c r="B936" s="23" t="s">
        <v>10</v>
      </c>
      <c r="C936" s="22">
        <v>0</v>
      </c>
      <c r="D936" s="86">
        <f t="shared" ref="D936:G938" si="25">QUOTIENT(0,1000000)</f>
        <v>0</v>
      </c>
      <c r="E936" s="86">
        <f t="shared" si="25"/>
        <v>0</v>
      </c>
      <c r="F936" s="87">
        <f t="shared" si="25"/>
        <v>0</v>
      </c>
      <c r="G936" s="87">
        <f t="shared" si="25"/>
        <v>0</v>
      </c>
      <c r="H936" s="88">
        <f>QUOTIENT(0,1000000)</f>
        <v>0</v>
      </c>
    </row>
    <row r="937" spans="1:8" ht="21.75" customHeight="1" x14ac:dyDescent="0.15">
      <c r="A937" s="250"/>
      <c r="B937" s="23" t="s">
        <v>9</v>
      </c>
      <c r="C937" s="22">
        <v>0</v>
      </c>
      <c r="D937" s="86">
        <f t="shared" si="25"/>
        <v>0</v>
      </c>
      <c r="E937" s="86">
        <f t="shared" si="25"/>
        <v>0</v>
      </c>
      <c r="F937" s="87">
        <f t="shared" si="25"/>
        <v>0</v>
      </c>
      <c r="G937" s="87">
        <f t="shared" si="25"/>
        <v>0</v>
      </c>
      <c r="H937" s="88">
        <f>QUOTIENT(0,1000000)</f>
        <v>0</v>
      </c>
    </row>
    <row r="938" spans="1:8" ht="21.75" customHeight="1" x14ac:dyDescent="0.15">
      <c r="A938" s="250"/>
      <c r="B938" s="23" t="s">
        <v>8</v>
      </c>
      <c r="C938" s="22">
        <v>0</v>
      </c>
      <c r="D938" s="86">
        <f t="shared" si="25"/>
        <v>0</v>
      </c>
      <c r="E938" s="86">
        <f t="shared" si="25"/>
        <v>0</v>
      </c>
      <c r="F938" s="87">
        <f t="shared" si="25"/>
        <v>0</v>
      </c>
      <c r="G938" s="87">
        <f t="shared" si="25"/>
        <v>0</v>
      </c>
      <c r="H938" s="88">
        <f>QUOTIENT(0,1000000)</f>
        <v>0</v>
      </c>
    </row>
    <row r="939" spans="1:8" ht="21.75" customHeight="1" x14ac:dyDescent="0.15">
      <c r="A939" s="251"/>
      <c r="B939" s="23" t="s">
        <v>7</v>
      </c>
      <c r="C939" s="22">
        <v>58</v>
      </c>
      <c r="D939" s="86">
        <f>QUOTIENT(18970000000,1000000)</f>
        <v>18970</v>
      </c>
      <c r="E939" s="86">
        <f>QUOTIENT(0,1000000)</f>
        <v>0</v>
      </c>
      <c r="F939" s="87">
        <f>QUOTIENT(14000000000,1000000)</f>
        <v>14000</v>
      </c>
      <c r="G939" s="87">
        <f>QUOTIENT(4970000000,1000000)</f>
        <v>4970</v>
      </c>
      <c r="H939" s="88">
        <f>QUOTIENT(0,1000000)</f>
        <v>0</v>
      </c>
    </row>
    <row r="940" spans="1:8" ht="21.75" customHeight="1" x14ac:dyDescent="0.15">
      <c r="A940" s="18" t="s">
        <v>6</v>
      </c>
      <c r="B940" s="17" t="s">
        <v>5</v>
      </c>
      <c r="C940" s="16">
        <v>3226</v>
      </c>
      <c r="D940" s="80">
        <v>24747512</v>
      </c>
      <c r="E940" s="80">
        <v>798500</v>
      </c>
      <c r="F940" s="81">
        <v>11996077</v>
      </c>
      <c r="G940" s="81">
        <v>10318569</v>
      </c>
      <c r="H940" s="82">
        <v>1634366</v>
      </c>
    </row>
    <row r="941" spans="1:8" ht="21.75" customHeight="1" x14ac:dyDescent="0.15">
      <c r="A941" s="252" t="s">
        <v>4</v>
      </c>
      <c r="B941" s="12" t="s">
        <v>3</v>
      </c>
      <c r="C941" s="11">
        <v>5688</v>
      </c>
      <c r="D941" s="89">
        <f>QUOTIENT(97187390555936,1000000)</f>
        <v>97187390</v>
      </c>
      <c r="E941" s="89">
        <f>QUOTIENT(60605848524162,1000000)</f>
        <v>60605848</v>
      </c>
      <c r="F941" s="90">
        <f>QUOTIENT(16856187753605,1000000)</f>
        <v>16856187</v>
      </c>
      <c r="G941" s="90">
        <f>QUOTIENT(12258995496493,1000000)</f>
        <v>12258995</v>
      </c>
      <c r="H941" s="91">
        <f>QUOTIENT(7466358781676,1000000)</f>
        <v>7466358</v>
      </c>
    </row>
    <row r="942" spans="1:8" ht="21.75" customHeight="1" thickBot="1" x14ac:dyDescent="0.2">
      <c r="A942" s="253"/>
      <c r="B942" s="7" t="s">
        <v>1153</v>
      </c>
      <c r="C942" s="6">
        <v>8374</v>
      </c>
      <c r="D942" s="92" t="s">
        <v>2178</v>
      </c>
      <c r="E942" s="92" t="s">
        <v>2178</v>
      </c>
      <c r="F942" s="92" t="s">
        <v>2178</v>
      </c>
      <c r="G942" s="92" t="s">
        <v>2178</v>
      </c>
      <c r="H942" s="93" t="s">
        <v>2178</v>
      </c>
    </row>
    <row r="943" spans="1:8" ht="18" customHeight="1" x14ac:dyDescent="0.15">
      <c r="A943" s="3" t="s">
        <v>1155</v>
      </c>
      <c r="B943" s="2"/>
      <c r="C943" s="2"/>
      <c r="D943" s="2"/>
      <c r="E943" s="2"/>
      <c r="F943" s="2"/>
      <c r="G943" s="2"/>
      <c r="H943" s="2"/>
    </row>
    <row r="944" spans="1:8" ht="18" customHeight="1" x14ac:dyDescent="0.15">
      <c r="A944" s="3" t="s">
        <v>2587</v>
      </c>
      <c r="B944" s="2"/>
      <c r="C944" s="2"/>
      <c r="D944" s="2"/>
      <c r="E944" s="2"/>
      <c r="F944" s="2"/>
      <c r="G944" s="2"/>
      <c r="H944" s="2"/>
    </row>
    <row r="945" spans="1:8" ht="18" customHeight="1" x14ac:dyDescent="0.15">
      <c r="A945" s="3" t="s">
        <v>1156</v>
      </c>
      <c r="B945" s="2"/>
      <c r="C945" s="2"/>
      <c r="D945" s="2"/>
      <c r="E945" s="2"/>
      <c r="F945" s="2"/>
      <c r="G945" s="2"/>
      <c r="H945" s="2"/>
    </row>
    <row r="946" spans="1:8" ht="18" customHeight="1" x14ac:dyDescent="0.15">
      <c r="A946" s="3" t="s">
        <v>2509</v>
      </c>
      <c r="B946" s="2"/>
      <c r="C946" s="2"/>
      <c r="D946" s="2"/>
      <c r="E946" s="2"/>
      <c r="F946" s="2"/>
      <c r="G946" s="2"/>
      <c r="H946" s="2"/>
    </row>
    <row r="947" spans="1:8" ht="24" x14ac:dyDescent="0.15">
      <c r="A947" s="230" t="s">
        <v>2506</v>
      </c>
      <c r="B947" s="230"/>
      <c r="C947" s="230"/>
      <c r="D947" s="230"/>
      <c r="E947" s="230"/>
      <c r="F947" s="230"/>
      <c r="G947" s="230"/>
      <c r="H947" s="230"/>
    </row>
    <row r="948" spans="1:8" ht="18" customHeight="1" x14ac:dyDescent="0.15">
      <c r="A948" s="231"/>
      <c r="B948" s="231"/>
      <c r="C948" s="231"/>
      <c r="D948" s="231"/>
      <c r="E948" s="231"/>
      <c r="F948" s="231"/>
      <c r="G948" s="231"/>
      <c r="H948" s="231"/>
    </row>
    <row r="949" spans="1:8" thickBot="1" x14ac:dyDescent="0.2">
      <c r="A949" s="58" t="s">
        <v>48</v>
      </c>
    </row>
    <row r="950" spans="1:8" ht="18" customHeight="1" x14ac:dyDescent="0.15">
      <c r="A950" s="232" t="s">
        <v>47</v>
      </c>
      <c r="B950" s="235" t="s">
        <v>46</v>
      </c>
      <c r="C950" s="238" t="s">
        <v>45</v>
      </c>
      <c r="D950" s="241" t="s">
        <v>44</v>
      </c>
      <c r="E950" s="146"/>
      <c r="F950" s="56"/>
      <c r="G950" s="56"/>
      <c r="H950" s="55"/>
    </row>
    <row r="951" spans="1:8" ht="18" customHeight="1" x14ac:dyDescent="0.15">
      <c r="A951" s="233"/>
      <c r="B951" s="236"/>
      <c r="C951" s="239"/>
      <c r="D951" s="242"/>
      <c r="E951" s="244" t="s">
        <v>43</v>
      </c>
      <c r="F951" s="246" t="s">
        <v>42</v>
      </c>
      <c r="G951" s="246" t="s">
        <v>41</v>
      </c>
      <c r="H951" s="248" t="s">
        <v>40</v>
      </c>
    </row>
    <row r="952" spans="1:8" ht="18" customHeight="1" thickBot="1" x14ac:dyDescent="0.2">
      <c r="A952" s="234"/>
      <c r="B952" s="237"/>
      <c r="C952" s="240"/>
      <c r="D952" s="243"/>
      <c r="E952" s="245"/>
      <c r="F952" s="247"/>
      <c r="G952" s="247"/>
      <c r="H952" s="249"/>
    </row>
    <row r="953" spans="1:8" s="60" customFormat="1" ht="18" customHeight="1" thickTop="1" x14ac:dyDescent="0.15">
      <c r="A953" s="147"/>
      <c r="B953" s="148"/>
      <c r="C953" s="52"/>
      <c r="D953" s="51" t="s">
        <v>39</v>
      </c>
      <c r="E953" s="50" t="s">
        <v>39</v>
      </c>
      <c r="F953" s="49" t="s">
        <v>39</v>
      </c>
      <c r="G953" s="49" t="s">
        <v>39</v>
      </c>
      <c r="H953" s="48" t="s">
        <v>39</v>
      </c>
    </row>
    <row r="954" spans="1:8" ht="21.75" customHeight="1" x14ac:dyDescent="0.15">
      <c r="A954" s="250" t="s">
        <v>38</v>
      </c>
      <c r="B954" s="61" t="s">
        <v>37</v>
      </c>
      <c r="C954" s="62">
        <v>3924</v>
      </c>
      <c r="D954" s="63">
        <f>QUOTIENT(722119439515436,1000000)</f>
        <v>722119439</v>
      </c>
      <c r="E954" s="63">
        <f>QUOTIENT(258030181558921,1000000)</f>
        <v>258030181</v>
      </c>
      <c r="F954" s="64">
        <f>QUOTIENT(230949753821671,1000000)</f>
        <v>230949753</v>
      </c>
      <c r="G954" s="64">
        <f>QUOTIENT(223447052484051,1000000)</f>
        <v>223447052</v>
      </c>
      <c r="H954" s="65">
        <f>QUOTIENT(9692451650792,1000000)</f>
        <v>9692451</v>
      </c>
    </row>
    <row r="955" spans="1:8" ht="21.75" customHeight="1" x14ac:dyDescent="0.15">
      <c r="A955" s="250"/>
      <c r="B955" s="66" t="s">
        <v>36</v>
      </c>
      <c r="C955" s="67">
        <v>18</v>
      </c>
      <c r="D955" s="68">
        <f>QUOTIENT(85317913000,1000000)</f>
        <v>85317</v>
      </c>
      <c r="E955" s="68">
        <f>QUOTIENT(23504601000,1000000)</f>
        <v>23504</v>
      </c>
      <c r="F955" s="69">
        <f>QUOTIENT(59927235000,1000000)</f>
        <v>59927</v>
      </c>
      <c r="G955" s="69">
        <f>QUOTIENT(1885081000,1000000)</f>
        <v>1885</v>
      </c>
      <c r="H955" s="115">
        <f>QUOTIENT(996000,1000000)</f>
        <v>0</v>
      </c>
    </row>
    <row r="956" spans="1:8" ht="21.75" customHeight="1" x14ac:dyDescent="0.15">
      <c r="A956" s="250"/>
      <c r="B956" s="66" t="s">
        <v>35</v>
      </c>
      <c r="C956" s="67">
        <v>103</v>
      </c>
      <c r="D956" s="68">
        <f>QUOTIENT(0,1000000)</f>
        <v>0</v>
      </c>
      <c r="E956" s="68">
        <f>QUOTIENT(0,1000000)</f>
        <v>0</v>
      </c>
      <c r="F956" s="69">
        <f>QUOTIENT(0,1000000)</f>
        <v>0</v>
      </c>
      <c r="G956" s="69">
        <f>QUOTIENT(0,1000000)</f>
        <v>0</v>
      </c>
      <c r="H956" s="70">
        <f>QUOTIENT(0,1000000)</f>
        <v>0</v>
      </c>
    </row>
    <row r="957" spans="1:8" ht="21.75" customHeight="1" x14ac:dyDescent="0.15">
      <c r="A957" s="250"/>
      <c r="B957" s="71" t="s">
        <v>34</v>
      </c>
      <c r="C957" s="72">
        <v>1</v>
      </c>
      <c r="D957" s="73">
        <f>QUOTIENT(174010145400,1000000)</f>
        <v>174010</v>
      </c>
      <c r="E957" s="73">
        <f>QUOTIENT(129389059800,1000000)</f>
        <v>129389</v>
      </c>
      <c r="F957" s="74">
        <f>QUOTIENT(8517190500,1000000)</f>
        <v>8517</v>
      </c>
      <c r="G957" s="74">
        <f>QUOTIENT(31781786400,1000000)</f>
        <v>31781</v>
      </c>
      <c r="H957" s="75">
        <f>QUOTIENT(4322108700,1000000)</f>
        <v>4322</v>
      </c>
    </row>
    <row r="958" spans="1:8" ht="21.75" customHeight="1" x14ac:dyDescent="0.15">
      <c r="A958" s="250"/>
      <c r="B958" s="66" t="s">
        <v>33</v>
      </c>
      <c r="C958" s="67">
        <v>68</v>
      </c>
      <c r="D958" s="68">
        <f>QUOTIENT(16795976767800,1000000)</f>
        <v>16795976</v>
      </c>
      <c r="E958" s="68">
        <f>QUOTIENT(4149551901400,1000000)</f>
        <v>4149551</v>
      </c>
      <c r="F958" s="69">
        <f>QUOTIENT(4864657465100,1000000)</f>
        <v>4864657</v>
      </c>
      <c r="G958" s="69">
        <f>QUOTIENT(7605733721900,1000000)</f>
        <v>7605733</v>
      </c>
      <c r="H958" s="70">
        <f>QUOTIENT(176033679400,1000000)</f>
        <v>176033</v>
      </c>
    </row>
    <row r="959" spans="1:8" ht="21.75" customHeight="1" x14ac:dyDescent="0.15">
      <c r="A959" s="250"/>
      <c r="B959" s="76" t="s">
        <v>32</v>
      </c>
      <c r="C959" s="67">
        <v>225</v>
      </c>
      <c r="D959" s="68">
        <f>QUOTIENT(60881164634579,1000000)</f>
        <v>60881164</v>
      </c>
      <c r="E959" s="68">
        <f>QUOTIENT(5155449835727,1000000)</f>
        <v>5155449</v>
      </c>
      <c r="F959" s="69">
        <f>QUOTIENT(1703831125446,1000000)</f>
        <v>1703831</v>
      </c>
      <c r="G959" s="69">
        <f>QUOTIENT(53816519971371,1000000)</f>
        <v>53816519</v>
      </c>
      <c r="H959" s="70">
        <f>QUOTIENT(205363702034,1000000)</f>
        <v>205363</v>
      </c>
    </row>
    <row r="960" spans="1:8" ht="21.75" customHeight="1" x14ac:dyDescent="0.15">
      <c r="A960" s="251"/>
      <c r="B960" s="77" t="s">
        <v>31</v>
      </c>
      <c r="C960" s="72">
        <v>45</v>
      </c>
      <c r="D960" s="73">
        <f>QUOTIENT(491514879735,1000000)</f>
        <v>491514</v>
      </c>
      <c r="E960" s="73">
        <f>QUOTIENT(364279494399,1000000)</f>
        <v>364279</v>
      </c>
      <c r="F960" s="74">
        <f>QUOTIENT(17545568804,1000000)</f>
        <v>17545</v>
      </c>
      <c r="G960" s="74">
        <f>QUOTIENT(93811021580,1000000)</f>
        <v>93811</v>
      </c>
      <c r="H960" s="75">
        <f>QUOTIENT(15878794952,1000000)</f>
        <v>15878</v>
      </c>
    </row>
    <row r="961" spans="1:8" ht="21.75" customHeight="1" x14ac:dyDescent="0.15">
      <c r="A961" s="30" t="s">
        <v>30</v>
      </c>
      <c r="B961" s="78" t="s">
        <v>29</v>
      </c>
      <c r="C961" s="79">
        <v>27</v>
      </c>
      <c r="D961" s="80">
        <f>QUOTIENT(146765905163,1000000)</f>
        <v>146765</v>
      </c>
      <c r="E961" s="80">
        <f>QUOTIENT(129946232681,1000000)</f>
        <v>129946</v>
      </c>
      <c r="F961" s="81">
        <f>QUOTIENT(632004069,1000000)</f>
        <v>632</v>
      </c>
      <c r="G961" s="81">
        <f>QUOTIENT(268075970,1000000)</f>
        <v>268</v>
      </c>
      <c r="H961" s="82">
        <f>QUOTIENT(15919592443,1000000)</f>
        <v>15919</v>
      </c>
    </row>
    <row r="962" spans="1:8" ht="21.75" customHeight="1" x14ac:dyDescent="0.15">
      <c r="A962" s="252" t="s">
        <v>28</v>
      </c>
      <c r="B962" s="17" t="s">
        <v>27</v>
      </c>
      <c r="C962" s="16">
        <v>3397</v>
      </c>
      <c r="D962" s="83">
        <f>QUOTIENT(64829816570000,1000000)</f>
        <v>64829816</v>
      </c>
      <c r="E962" s="83">
        <f>QUOTIENT(9994997040000,1000000)</f>
        <v>9994997</v>
      </c>
      <c r="F962" s="84">
        <f>QUOTIENT(30278001060000,1000000)</f>
        <v>30278001</v>
      </c>
      <c r="G962" s="84">
        <f>QUOTIENT(24442627940000,1000000)</f>
        <v>24442627</v>
      </c>
      <c r="H962" s="85">
        <f>QUOTIENT(114190530000,1000000)</f>
        <v>114190</v>
      </c>
    </row>
    <row r="963" spans="1:8" ht="21.75" customHeight="1" x14ac:dyDescent="0.15">
      <c r="A963" s="250"/>
      <c r="B963" s="23" t="s">
        <v>26</v>
      </c>
      <c r="C963" s="22">
        <v>3582</v>
      </c>
      <c r="D963" s="86">
        <f>QUOTIENT(15415228604000,1000000)</f>
        <v>15415228</v>
      </c>
      <c r="E963" s="86">
        <f>QUOTIENT(507201436000,1000000)</f>
        <v>507201</v>
      </c>
      <c r="F963" s="87">
        <f>QUOTIENT(10231827911000,1000000)</f>
        <v>10231827</v>
      </c>
      <c r="G963" s="87">
        <f>QUOTIENT(4665362257000,1000000)</f>
        <v>4665362</v>
      </c>
      <c r="H963" s="88">
        <f>QUOTIENT(10837000000,1000000)</f>
        <v>10837</v>
      </c>
    </row>
    <row r="964" spans="1:8" ht="21.75" customHeight="1" x14ac:dyDescent="0.15">
      <c r="A964" s="250"/>
      <c r="B964" s="24" t="s">
        <v>25</v>
      </c>
      <c r="C964" s="22">
        <v>565</v>
      </c>
      <c r="D964" s="86">
        <f>QUOTIENT(22331900000000,1000000)</f>
        <v>22331900</v>
      </c>
      <c r="E964" s="86">
        <f>QUOTIENT(1640626200000,1000000)</f>
        <v>1640626</v>
      </c>
      <c r="F964" s="87">
        <f>QUOTIENT(9276631300000,1000000)</f>
        <v>9276631</v>
      </c>
      <c r="G964" s="87">
        <f>QUOTIENT(11361146500000,1000000)</f>
        <v>11361146</v>
      </c>
      <c r="H964" s="88">
        <f>QUOTIENT(53496000000,1000000)</f>
        <v>53496</v>
      </c>
    </row>
    <row r="965" spans="1:8" ht="21.75" customHeight="1" x14ac:dyDescent="0.15">
      <c r="A965" s="250"/>
      <c r="B965" s="23" t="s">
        <v>24</v>
      </c>
      <c r="C965" s="22">
        <v>2099</v>
      </c>
      <c r="D965" s="86">
        <f>QUOTIENT(57505100000000,1000000)</f>
        <v>57505100</v>
      </c>
      <c r="E965" s="86">
        <f>QUOTIENT(7409548200000,1000000)</f>
        <v>7409548</v>
      </c>
      <c r="F965" s="87">
        <f>QUOTIENT(20048044100000,1000000)</f>
        <v>20048044</v>
      </c>
      <c r="G965" s="87">
        <f>QUOTIENT(30043157700000,1000000)</f>
        <v>30043157</v>
      </c>
      <c r="H965" s="88">
        <f>QUOTIENT(4350000000,1000000)</f>
        <v>4350</v>
      </c>
    </row>
    <row r="966" spans="1:8" ht="21.75" customHeight="1" x14ac:dyDescent="0.15">
      <c r="A966" s="250"/>
      <c r="B966" s="23" t="s">
        <v>23</v>
      </c>
      <c r="C966" s="22">
        <v>489</v>
      </c>
      <c r="D966" s="86">
        <f>QUOTIENT(5078087000000,1000000)</f>
        <v>5078087</v>
      </c>
      <c r="E966" s="86">
        <f>QUOTIENT(328755000000,1000000)</f>
        <v>328755</v>
      </c>
      <c r="F966" s="87">
        <f>QUOTIENT(103005600000,1000000)</f>
        <v>103005</v>
      </c>
      <c r="G966" s="87">
        <f>QUOTIENT(4646326400000,1000000)</f>
        <v>4646326</v>
      </c>
      <c r="H966" s="88">
        <f>QUOTIENT(0,1000000)</f>
        <v>0</v>
      </c>
    </row>
    <row r="967" spans="1:8" ht="21.75" customHeight="1" x14ac:dyDescent="0.15">
      <c r="A967" s="250"/>
      <c r="B967" s="23" t="s">
        <v>22</v>
      </c>
      <c r="C967" s="22">
        <v>164</v>
      </c>
      <c r="D967" s="86">
        <f>QUOTIENT(1316300000000,1000000)</f>
        <v>1316300</v>
      </c>
      <c r="E967" s="86">
        <f>QUOTIENT(331870000000,1000000)</f>
        <v>331870</v>
      </c>
      <c r="F967" s="87">
        <f>QUOTIENT(472500000000,1000000)</f>
        <v>472500</v>
      </c>
      <c r="G967" s="87">
        <f>QUOTIENT(511930000000,1000000)</f>
        <v>511930</v>
      </c>
      <c r="H967" s="88">
        <f>QUOTIENT(0,1000000)</f>
        <v>0</v>
      </c>
    </row>
    <row r="968" spans="1:8" ht="21.75" customHeight="1" x14ac:dyDescent="0.15">
      <c r="A968" s="250"/>
      <c r="B968" s="23" t="s">
        <v>21</v>
      </c>
      <c r="C968" s="22">
        <v>21</v>
      </c>
      <c r="D968" s="86">
        <f>QUOTIENT(133500000000,1000000)</f>
        <v>133500</v>
      </c>
      <c r="E968" s="86">
        <f>QUOTIENT(110493000000,1000000)</f>
        <v>110493</v>
      </c>
      <c r="F968" s="87">
        <f>QUOTIENT(13245000000,1000000)</f>
        <v>13245</v>
      </c>
      <c r="G968" s="87">
        <f>QUOTIENT(9762000000,1000000)</f>
        <v>9762</v>
      </c>
      <c r="H968" s="88">
        <f>QUOTIENT(0,1000000)</f>
        <v>0</v>
      </c>
    </row>
    <row r="969" spans="1:8" ht="21.75" customHeight="1" x14ac:dyDescent="0.15">
      <c r="A969" s="250"/>
      <c r="B969" s="23" t="s">
        <v>20</v>
      </c>
      <c r="C969" s="22">
        <v>0</v>
      </c>
      <c r="D969" s="86">
        <f>QUOTIENT(0,1000000)</f>
        <v>0</v>
      </c>
      <c r="E969" s="86">
        <f>QUOTIENT(0,1000000)</f>
        <v>0</v>
      </c>
      <c r="F969" s="87">
        <f>QUOTIENT(0,1000000)</f>
        <v>0</v>
      </c>
      <c r="G969" s="87">
        <f>QUOTIENT(0,1000000)</f>
        <v>0</v>
      </c>
      <c r="H969" s="88">
        <f>QUOTIENT(0,1000000)</f>
        <v>0</v>
      </c>
    </row>
    <row r="970" spans="1:8" ht="21.75" customHeight="1" x14ac:dyDescent="0.15">
      <c r="A970" s="250"/>
      <c r="B970" s="23" t="s">
        <v>19</v>
      </c>
      <c r="C970" s="22">
        <v>213</v>
      </c>
      <c r="D970" s="86">
        <f>QUOTIENT(5224400000000,1000000)</f>
        <v>5224400</v>
      </c>
      <c r="E970" s="86">
        <f>QUOTIENT(578320000000,1000000)</f>
        <v>578320</v>
      </c>
      <c r="F970" s="87">
        <f>QUOTIENT(2613700000000,1000000)</f>
        <v>2613700</v>
      </c>
      <c r="G970" s="87">
        <f>QUOTIENT(1981720000000,1000000)</f>
        <v>1981720</v>
      </c>
      <c r="H970" s="88">
        <f>QUOTIENT(50660000000,1000000)</f>
        <v>50660</v>
      </c>
    </row>
    <row r="971" spans="1:8" ht="21.75" customHeight="1" x14ac:dyDescent="0.15">
      <c r="A971" s="250"/>
      <c r="B971" s="23" t="s">
        <v>18</v>
      </c>
      <c r="C971" s="22">
        <v>4017</v>
      </c>
      <c r="D971" s="86">
        <f>QUOTIENT(82890426500000,1000000)</f>
        <v>82890426</v>
      </c>
      <c r="E971" s="86">
        <f>QUOTIENT(19430622400000,1000000)</f>
        <v>19430622</v>
      </c>
      <c r="F971" s="87">
        <f>QUOTIENT(33065217100000,1000000)</f>
        <v>33065217</v>
      </c>
      <c r="G971" s="87">
        <f>QUOTIENT(29798470000000,1000000)</f>
        <v>29798470</v>
      </c>
      <c r="H971" s="88">
        <f>QUOTIENT(596117000000,1000000)</f>
        <v>596117</v>
      </c>
    </row>
    <row r="972" spans="1:8" ht="21.75" customHeight="1" x14ac:dyDescent="0.15">
      <c r="A972" s="250"/>
      <c r="B972" s="23" t="s">
        <v>17</v>
      </c>
      <c r="C972" s="22">
        <v>739</v>
      </c>
      <c r="D972" s="86">
        <f>QUOTIENT(17328360000000,1000000)</f>
        <v>17328360</v>
      </c>
      <c r="E972" s="86">
        <f>QUOTIENT(4057396100000,1000000)</f>
        <v>4057396</v>
      </c>
      <c r="F972" s="87">
        <f>QUOTIENT(7562506000000,1000000)</f>
        <v>7562506</v>
      </c>
      <c r="G972" s="87">
        <f>QUOTIENT(5656417900000,1000000)</f>
        <v>5656417</v>
      </c>
      <c r="H972" s="88">
        <f>QUOTIENT(52040000000,1000000)</f>
        <v>52040</v>
      </c>
    </row>
    <row r="973" spans="1:8" ht="21.75" customHeight="1" x14ac:dyDescent="0.15">
      <c r="A973" s="250"/>
      <c r="B973" s="23" t="s">
        <v>16</v>
      </c>
      <c r="C973" s="22">
        <v>64131</v>
      </c>
      <c r="D973" s="86">
        <f>QUOTIENT(15904443484000,1000000)</f>
        <v>15904443</v>
      </c>
      <c r="E973" s="86">
        <f>QUOTIENT(4424217010000,1000000)</f>
        <v>4424217</v>
      </c>
      <c r="F973" s="87">
        <f>QUOTIENT(4930327914000,1000000)</f>
        <v>4930327</v>
      </c>
      <c r="G973" s="87">
        <f>QUOTIENT(6521508560000,1000000)</f>
        <v>6521508</v>
      </c>
      <c r="H973" s="88">
        <f>QUOTIENT(28390000000,1000000)</f>
        <v>28390</v>
      </c>
    </row>
    <row r="974" spans="1:8" ht="21.75" customHeight="1" x14ac:dyDescent="0.15">
      <c r="A974" s="250"/>
      <c r="B974" s="23" t="s">
        <v>15</v>
      </c>
      <c r="C974" s="22">
        <v>479</v>
      </c>
      <c r="D974" s="86">
        <f>QUOTIENT(4018247734000,1000000)</f>
        <v>4018247</v>
      </c>
      <c r="E974" s="86">
        <f>QUOTIENT(3412887410000,1000000)</f>
        <v>3412887</v>
      </c>
      <c r="F974" s="87">
        <f>QUOTIENT(499730784000,1000000)</f>
        <v>499730</v>
      </c>
      <c r="G974" s="87">
        <f>QUOTIENT(105384540000,1000000)</f>
        <v>105384</v>
      </c>
      <c r="H974" s="88">
        <f>QUOTIENT(245000000,1000000)</f>
        <v>245</v>
      </c>
    </row>
    <row r="975" spans="1:8" ht="21.75" customHeight="1" x14ac:dyDescent="0.15">
      <c r="A975" s="250"/>
      <c r="B975" s="23" t="s">
        <v>14</v>
      </c>
      <c r="C975" s="22">
        <v>34</v>
      </c>
      <c r="D975" s="86">
        <f>QUOTIENT(100700000000,1000000)</f>
        <v>100700</v>
      </c>
      <c r="E975" s="86">
        <f>QUOTIENT(19900000000,1000000)</f>
        <v>19900</v>
      </c>
      <c r="F975" s="87">
        <f>QUOTIENT(57300000000,1000000)</f>
        <v>57300</v>
      </c>
      <c r="G975" s="87">
        <f>QUOTIENT(23500000000,1000000)</f>
        <v>23500</v>
      </c>
      <c r="H975" s="88">
        <f>QUOTIENT(0,1000000)</f>
        <v>0</v>
      </c>
    </row>
    <row r="976" spans="1:8" ht="21.75" customHeight="1" x14ac:dyDescent="0.15">
      <c r="A976" s="250"/>
      <c r="B976" s="23" t="s">
        <v>13</v>
      </c>
      <c r="C976" s="22">
        <v>737</v>
      </c>
      <c r="D976" s="86">
        <f>QUOTIENT(3008690330000,1000000)</f>
        <v>3008690</v>
      </c>
      <c r="E976" s="86">
        <f>QUOTIENT(182905480000,1000000)</f>
        <v>182905</v>
      </c>
      <c r="F976" s="87">
        <f>QUOTIENT(1549970860000,1000000)</f>
        <v>1549970</v>
      </c>
      <c r="G976" s="87">
        <f>QUOTIENT(1275813990000,1000000)</f>
        <v>1275813</v>
      </c>
      <c r="H976" s="88">
        <f>QUOTIENT(0,1000000)</f>
        <v>0</v>
      </c>
    </row>
    <row r="977" spans="1:8" ht="21.75" customHeight="1" x14ac:dyDescent="0.15">
      <c r="A977" s="250"/>
      <c r="B977" s="23" t="s">
        <v>12</v>
      </c>
      <c r="C977" s="22">
        <v>270</v>
      </c>
      <c r="D977" s="86">
        <f>QUOTIENT(7001800000000,1000000)</f>
        <v>7001800</v>
      </c>
      <c r="E977" s="86">
        <f>QUOTIENT(981168000000,1000000)</f>
        <v>981168</v>
      </c>
      <c r="F977" s="87">
        <f>QUOTIENT(2234760000000,1000000)</f>
        <v>2234760</v>
      </c>
      <c r="G977" s="87">
        <f>QUOTIENT(3757772000000,1000000)</f>
        <v>3757772</v>
      </c>
      <c r="H977" s="88">
        <f>QUOTIENT(28100000000,1000000)</f>
        <v>28100</v>
      </c>
    </row>
    <row r="978" spans="1:8" ht="21.75" customHeight="1" x14ac:dyDescent="0.15">
      <c r="A978" s="250"/>
      <c r="B978" s="23" t="s">
        <v>11</v>
      </c>
      <c r="C978" s="22">
        <v>62</v>
      </c>
      <c r="D978" s="86">
        <f>QUOTIENT(1318150000000,1000000)</f>
        <v>1318150</v>
      </c>
      <c r="E978" s="86">
        <f>QUOTIENT(136400000000,1000000)</f>
        <v>136400</v>
      </c>
      <c r="F978" s="87">
        <f>QUOTIENT(569150000000,1000000)</f>
        <v>569150</v>
      </c>
      <c r="G978" s="87">
        <f>QUOTIENT(612600000000,1000000)</f>
        <v>612600</v>
      </c>
      <c r="H978" s="88">
        <f>QUOTIENT(0,1000000)</f>
        <v>0</v>
      </c>
    </row>
    <row r="979" spans="1:8" ht="21.75" customHeight="1" x14ac:dyDescent="0.15">
      <c r="A979" s="250"/>
      <c r="B979" s="23" t="s">
        <v>10</v>
      </c>
      <c r="C979" s="22">
        <v>0</v>
      </c>
      <c r="D979" s="86">
        <f t="shared" ref="D979:G981" si="26">QUOTIENT(0,1000000)</f>
        <v>0</v>
      </c>
      <c r="E979" s="86">
        <f t="shared" si="26"/>
        <v>0</v>
      </c>
      <c r="F979" s="87">
        <f t="shared" si="26"/>
        <v>0</v>
      </c>
      <c r="G979" s="87">
        <f t="shared" si="26"/>
        <v>0</v>
      </c>
      <c r="H979" s="88">
        <f>QUOTIENT(0,1000000)</f>
        <v>0</v>
      </c>
    </row>
    <row r="980" spans="1:8" ht="21.75" customHeight="1" x14ac:dyDescent="0.15">
      <c r="A980" s="250"/>
      <c r="B980" s="23" t="s">
        <v>9</v>
      </c>
      <c r="C980" s="22">
        <v>0</v>
      </c>
      <c r="D980" s="86">
        <f t="shared" si="26"/>
        <v>0</v>
      </c>
      <c r="E980" s="86">
        <f t="shared" si="26"/>
        <v>0</v>
      </c>
      <c r="F980" s="87">
        <f t="shared" si="26"/>
        <v>0</v>
      </c>
      <c r="G980" s="87">
        <f t="shared" si="26"/>
        <v>0</v>
      </c>
      <c r="H980" s="88">
        <f>QUOTIENT(0,1000000)</f>
        <v>0</v>
      </c>
    </row>
    <row r="981" spans="1:8" ht="21.75" customHeight="1" x14ac:dyDescent="0.15">
      <c r="A981" s="250"/>
      <c r="B981" s="23" t="s">
        <v>8</v>
      </c>
      <c r="C981" s="22">
        <v>0</v>
      </c>
      <c r="D981" s="86">
        <f t="shared" si="26"/>
        <v>0</v>
      </c>
      <c r="E981" s="86">
        <f t="shared" si="26"/>
        <v>0</v>
      </c>
      <c r="F981" s="87">
        <f t="shared" si="26"/>
        <v>0</v>
      </c>
      <c r="G981" s="87">
        <f t="shared" si="26"/>
        <v>0</v>
      </c>
      <c r="H981" s="88">
        <f>QUOTIENT(0,1000000)</f>
        <v>0</v>
      </c>
    </row>
    <row r="982" spans="1:8" ht="21.75" customHeight="1" x14ac:dyDescent="0.15">
      <c r="A982" s="251"/>
      <c r="B982" s="23" t="s">
        <v>7</v>
      </c>
      <c r="C982" s="22">
        <v>55</v>
      </c>
      <c r="D982" s="86">
        <f>QUOTIENT(18790000000,1000000)</f>
        <v>18790</v>
      </c>
      <c r="E982" s="86">
        <f>QUOTIENT(0,1000000)</f>
        <v>0</v>
      </c>
      <c r="F982" s="87">
        <f>QUOTIENT(14000000000,1000000)</f>
        <v>14000</v>
      </c>
      <c r="G982" s="87">
        <f>QUOTIENT(4790000000,1000000)</f>
        <v>4790</v>
      </c>
      <c r="H982" s="88">
        <f>QUOTIENT(0,1000000)</f>
        <v>0</v>
      </c>
    </row>
    <row r="983" spans="1:8" ht="21.75" customHeight="1" x14ac:dyDescent="0.15">
      <c r="A983" s="18" t="s">
        <v>6</v>
      </c>
      <c r="B983" s="17" t="s">
        <v>5</v>
      </c>
      <c r="C983" s="16">
        <v>3208</v>
      </c>
      <c r="D983" s="80">
        <v>26218235</v>
      </c>
      <c r="E983" s="80">
        <v>747500</v>
      </c>
      <c r="F983" s="81">
        <v>13723077</v>
      </c>
      <c r="G983" s="81">
        <v>10010658</v>
      </c>
      <c r="H983" s="82">
        <v>1737000</v>
      </c>
    </row>
    <row r="984" spans="1:8" ht="21.75" customHeight="1" x14ac:dyDescent="0.15">
      <c r="A984" s="252" t="s">
        <v>4</v>
      </c>
      <c r="B984" s="12" t="s">
        <v>3</v>
      </c>
      <c r="C984" s="11">
        <v>5708</v>
      </c>
      <c r="D984" s="89">
        <f>QUOTIENT(97885517521028,1000000)</f>
        <v>97885517</v>
      </c>
      <c r="E984" s="89">
        <f>QUOTIENT(61014187028769,1000000)</f>
        <v>61014187</v>
      </c>
      <c r="F984" s="90">
        <f>QUOTIENT(16924342260894,1000000)</f>
        <v>16924342</v>
      </c>
      <c r="G984" s="90">
        <f>QUOTIENT(12431601600442,1000000)</f>
        <v>12431601</v>
      </c>
      <c r="H984" s="91">
        <f>QUOTIENT(7515386630923,1000000)</f>
        <v>7515386</v>
      </c>
    </row>
    <row r="985" spans="1:8" ht="21.75" customHeight="1" thickBot="1" x14ac:dyDescent="0.2">
      <c r="A985" s="253"/>
      <c r="B985" s="7" t="s">
        <v>1153</v>
      </c>
      <c r="C985" s="6">
        <v>8341</v>
      </c>
      <c r="D985" s="92" t="s">
        <v>2178</v>
      </c>
      <c r="E985" s="92" t="s">
        <v>2178</v>
      </c>
      <c r="F985" s="92" t="s">
        <v>2178</v>
      </c>
      <c r="G985" s="92" t="s">
        <v>2178</v>
      </c>
      <c r="H985" s="93" t="s">
        <v>2178</v>
      </c>
    </row>
    <row r="986" spans="1:8" ht="18" customHeight="1" x14ac:dyDescent="0.15">
      <c r="A986" s="3" t="s">
        <v>1155</v>
      </c>
      <c r="B986" s="2"/>
      <c r="C986" s="2"/>
      <c r="D986" s="2"/>
      <c r="E986" s="2"/>
      <c r="F986" s="2"/>
      <c r="G986" s="2"/>
      <c r="H986" s="2"/>
    </row>
    <row r="987" spans="1:8" ht="18" customHeight="1" x14ac:dyDescent="0.15">
      <c r="A987" s="3" t="s">
        <v>2587</v>
      </c>
      <c r="B987" s="2"/>
      <c r="C987" s="2"/>
      <c r="D987" s="2"/>
      <c r="E987" s="2"/>
      <c r="F987" s="2"/>
      <c r="G987" s="2"/>
      <c r="H987" s="2"/>
    </row>
    <row r="988" spans="1:8" ht="18" customHeight="1" x14ac:dyDescent="0.15">
      <c r="A988" s="3" t="s">
        <v>1156</v>
      </c>
      <c r="B988" s="2"/>
      <c r="C988" s="2"/>
      <c r="D988" s="2"/>
      <c r="E988" s="2"/>
      <c r="F988" s="2"/>
      <c r="G988" s="2"/>
      <c r="H988" s="2"/>
    </row>
    <row r="989" spans="1:8" ht="18" customHeight="1" x14ac:dyDescent="0.15">
      <c r="A989" s="3" t="s">
        <v>2507</v>
      </c>
      <c r="B989" s="2"/>
      <c r="C989" s="2"/>
      <c r="D989" s="2"/>
      <c r="E989" s="2"/>
      <c r="F989" s="2"/>
      <c r="G989" s="2"/>
      <c r="H989" s="2"/>
    </row>
    <row r="990" spans="1:8" ht="24" x14ac:dyDescent="0.15">
      <c r="A990" s="230" t="s">
        <v>2504</v>
      </c>
      <c r="B990" s="230"/>
      <c r="C990" s="230"/>
      <c r="D990" s="230"/>
      <c r="E990" s="230"/>
      <c r="F990" s="230"/>
      <c r="G990" s="230"/>
      <c r="H990" s="230"/>
    </row>
    <row r="991" spans="1:8" ht="18" customHeight="1" x14ac:dyDescent="0.15">
      <c r="A991" s="231"/>
      <c r="B991" s="231"/>
      <c r="C991" s="231"/>
      <c r="D991" s="231"/>
      <c r="E991" s="231"/>
      <c r="F991" s="231"/>
      <c r="G991" s="231"/>
      <c r="H991" s="231"/>
    </row>
    <row r="992" spans="1:8" thickBot="1" x14ac:dyDescent="0.2">
      <c r="A992" s="58" t="s">
        <v>48</v>
      </c>
    </row>
    <row r="993" spans="1:8" ht="18" customHeight="1" x14ac:dyDescent="0.15">
      <c r="A993" s="232" t="s">
        <v>47</v>
      </c>
      <c r="B993" s="235" t="s">
        <v>46</v>
      </c>
      <c r="C993" s="238" t="s">
        <v>45</v>
      </c>
      <c r="D993" s="241" t="s">
        <v>44</v>
      </c>
      <c r="E993" s="145"/>
      <c r="F993" s="56"/>
      <c r="G993" s="56"/>
      <c r="H993" s="55"/>
    </row>
    <row r="994" spans="1:8" ht="18" customHeight="1" x14ac:dyDescent="0.15">
      <c r="A994" s="233"/>
      <c r="B994" s="236"/>
      <c r="C994" s="239"/>
      <c r="D994" s="242"/>
      <c r="E994" s="244" t="s">
        <v>43</v>
      </c>
      <c r="F994" s="246" t="s">
        <v>42</v>
      </c>
      <c r="G994" s="246" t="s">
        <v>41</v>
      </c>
      <c r="H994" s="248" t="s">
        <v>40</v>
      </c>
    </row>
    <row r="995" spans="1:8" ht="18" customHeight="1" thickBot="1" x14ac:dyDescent="0.2">
      <c r="A995" s="234"/>
      <c r="B995" s="237"/>
      <c r="C995" s="240"/>
      <c r="D995" s="243"/>
      <c r="E995" s="245"/>
      <c r="F995" s="247"/>
      <c r="G995" s="247"/>
      <c r="H995" s="249"/>
    </row>
    <row r="996" spans="1:8" s="60" customFormat="1" ht="18" customHeight="1" thickTop="1" x14ac:dyDescent="0.15">
      <c r="A996" s="143"/>
      <c r="B996" s="144"/>
      <c r="C996" s="52"/>
      <c r="D996" s="51" t="s">
        <v>39</v>
      </c>
      <c r="E996" s="50" t="s">
        <v>39</v>
      </c>
      <c r="F996" s="49" t="s">
        <v>39</v>
      </c>
      <c r="G996" s="49" t="s">
        <v>39</v>
      </c>
      <c r="H996" s="48" t="s">
        <v>39</v>
      </c>
    </row>
    <row r="997" spans="1:8" ht="21.75" customHeight="1" x14ac:dyDescent="0.15">
      <c r="A997" s="250" t="s">
        <v>38</v>
      </c>
      <c r="B997" s="61" t="s">
        <v>37</v>
      </c>
      <c r="C997" s="62">
        <v>3925</v>
      </c>
      <c r="D997" s="63">
        <f>QUOTIENT(720089388845213,1000000)</f>
        <v>720089388</v>
      </c>
      <c r="E997" s="63">
        <f>QUOTIENT(258640002424664,1000000)</f>
        <v>258640002</v>
      </c>
      <c r="F997" s="64">
        <f>QUOTIENT(229729875271968,1000000)</f>
        <v>229729875</v>
      </c>
      <c r="G997" s="64">
        <f>QUOTIENT(222087454427381,1000000)</f>
        <v>222087454</v>
      </c>
      <c r="H997" s="65">
        <f>QUOTIENT(9632056721199,1000000)</f>
        <v>9632056</v>
      </c>
    </row>
    <row r="998" spans="1:8" ht="21.75" customHeight="1" x14ac:dyDescent="0.15">
      <c r="A998" s="250"/>
      <c r="B998" s="66" t="s">
        <v>36</v>
      </c>
      <c r="C998" s="67">
        <v>18</v>
      </c>
      <c r="D998" s="68">
        <f>QUOTIENT(81913312000,1000000)</f>
        <v>81913</v>
      </c>
      <c r="E998" s="68">
        <f>QUOTIENT(22694045500,1000000)</f>
        <v>22694</v>
      </c>
      <c r="F998" s="69">
        <f>QUOTIENT(57396137000,1000000)</f>
        <v>57396</v>
      </c>
      <c r="G998" s="69">
        <f>QUOTIENT(1822134000,1000000)</f>
        <v>1822</v>
      </c>
      <c r="H998" s="115">
        <f>QUOTIENT(995500,1000000)</f>
        <v>0</v>
      </c>
    </row>
    <row r="999" spans="1:8" ht="21.75" customHeight="1" x14ac:dyDescent="0.15">
      <c r="A999" s="250"/>
      <c r="B999" s="66" t="s">
        <v>35</v>
      </c>
      <c r="C999" s="67">
        <v>104</v>
      </c>
      <c r="D999" s="68">
        <f>QUOTIENT(0,1000000)</f>
        <v>0</v>
      </c>
      <c r="E999" s="68">
        <f>QUOTIENT(0,1000000)</f>
        <v>0</v>
      </c>
      <c r="F999" s="69">
        <f>QUOTIENT(0,1000000)</f>
        <v>0</v>
      </c>
      <c r="G999" s="69">
        <f>QUOTIENT(0,1000000)</f>
        <v>0</v>
      </c>
      <c r="H999" s="70">
        <f>QUOTIENT(0,1000000)</f>
        <v>0</v>
      </c>
    </row>
    <row r="1000" spans="1:8" ht="21.75" customHeight="1" x14ac:dyDescent="0.15">
      <c r="A1000" s="250"/>
      <c r="B1000" s="71" t="s">
        <v>34</v>
      </c>
      <c r="C1000" s="72">
        <v>1</v>
      </c>
      <c r="D1000" s="73">
        <f>QUOTIENT(172876990200,1000000)</f>
        <v>172876</v>
      </c>
      <c r="E1000" s="73">
        <f>QUOTIENT(128547453800,1000000)</f>
        <v>128547</v>
      </c>
      <c r="F1000" s="74">
        <f>QUOTIENT(8461726500,1000000)</f>
        <v>8461</v>
      </c>
      <c r="G1000" s="74">
        <f>QUOTIENT(31574823200,1000000)</f>
        <v>31574</v>
      </c>
      <c r="H1000" s="75">
        <f>QUOTIENT(4292986700,1000000)</f>
        <v>4292</v>
      </c>
    </row>
    <row r="1001" spans="1:8" ht="21.75" customHeight="1" x14ac:dyDescent="0.15">
      <c r="A1001" s="250"/>
      <c r="B1001" s="66" t="s">
        <v>33</v>
      </c>
      <c r="C1001" s="67">
        <v>68</v>
      </c>
      <c r="D1001" s="68">
        <f>QUOTIENT(16560375933900,1000000)</f>
        <v>16560375</v>
      </c>
      <c r="E1001" s="68">
        <f>QUOTIENT(4053495936850,1000000)</f>
        <v>4053495</v>
      </c>
      <c r="F1001" s="69">
        <f>QUOTIENT(4877633223200,1000000)</f>
        <v>4877633</v>
      </c>
      <c r="G1001" s="69">
        <f>QUOTIENT(7460294783000,1000000)</f>
        <v>7460294</v>
      </c>
      <c r="H1001" s="70">
        <f>QUOTIENT(168951990850,1000000)</f>
        <v>168951</v>
      </c>
    </row>
    <row r="1002" spans="1:8" ht="21.75" customHeight="1" x14ac:dyDescent="0.15">
      <c r="A1002" s="250"/>
      <c r="B1002" s="76" t="s">
        <v>32</v>
      </c>
      <c r="C1002" s="67">
        <v>223</v>
      </c>
      <c r="D1002" s="68">
        <f>QUOTIENT(60111604081690,1000000)</f>
        <v>60111604</v>
      </c>
      <c r="E1002" s="68">
        <f>QUOTIENT(4943933814337,1000000)</f>
        <v>4943933</v>
      </c>
      <c r="F1002" s="69">
        <f>QUOTIENT(1737759874770,1000000)</f>
        <v>1737759</v>
      </c>
      <c r="G1002" s="69">
        <f>QUOTIENT(53201291663485,1000000)</f>
        <v>53201291</v>
      </c>
      <c r="H1002" s="70">
        <f>QUOTIENT(228618729098,1000000)</f>
        <v>228618</v>
      </c>
    </row>
    <row r="1003" spans="1:8" ht="21.75" customHeight="1" x14ac:dyDescent="0.15">
      <c r="A1003" s="251"/>
      <c r="B1003" s="77" t="s">
        <v>31</v>
      </c>
      <c r="C1003" s="72">
        <v>45</v>
      </c>
      <c r="D1003" s="73">
        <f>QUOTIENT(504767711183,1000000)</f>
        <v>504767</v>
      </c>
      <c r="E1003" s="73">
        <f>QUOTIENT(376086038221,1000000)</f>
        <v>376086</v>
      </c>
      <c r="F1003" s="74">
        <f>QUOTIENT(18559365760,1000000)</f>
        <v>18559</v>
      </c>
      <c r="G1003" s="74">
        <f>QUOTIENT(93288645002,1000000)</f>
        <v>93288</v>
      </c>
      <c r="H1003" s="75">
        <f>QUOTIENT(16833662200,1000000)</f>
        <v>16833</v>
      </c>
    </row>
    <row r="1004" spans="1:8" ht="21.75" customHeight="1" x14ac:dyDescent="0.15">
      <c r="A1004" s="30" t="s">
        <v>30</v>
      </c>
      <c r="B1004" s="78" t="s">
        <v>29</v>
      </c>
      <c r="C1004" s="79">
        <v>27</v>
      </c>
      <c r="D1004" s="80">
        <f>QUOTIENT(146110678983,1000000)</f>
        <v>146110</v>
      </c>
      <c r="E1004" s="80">
        <f>QUOTIENT(129343804394,1000000)</f>
        <v>129343</v>
      </c>
      <c r="F1004" s="81">
        <f>QUOTIENT(808553886,1000000)</f>
        <v>808</v>
      </c>
      <c r="G1004" s="81">
        <f>QUOTIENT(217985640,1000000)</f>
        <v>217</v>
      </c>
      <c r="H1004" s="82">
        <f>QUOTIENT(15740335063,1000000)</f>
        <v>15740</v>
      </c>
    </row>
    <row r="1005" spans="1:8" ht="21.75" customHeight="1" x14ac:dyDescent="0.15">
      <c r="A1005" s="252" t="s">
        <v>28</v>
      </c>
      <c r="B1005" s="17" t="s">
        <v>27</v>
      </c>
      <c r="C1005" s="16">
        <v>3384</v>
      </c>
      <c r="D1005" s="83">
        <f>QUOTIENT(64690316570000,1000000)</f>
        <v>64690316</v>
      </c>
      <c r="E1005" s="83">
        <f>QUOTIENT(9910252290000,1000000)</f>
        <v>9910252</v>
      </c>
      <c r="F1005" s="84">
        <f>QUOTIENT(30204957670000,1000000)</f>
        <v>30204957</v>
      </c>
      <c r="G1005" s="84">
        <f>QUOTIENT(24462116080000,1000000)</f>
        <v>24462116</v>
      </c>
      <c r="H1005" s="85">
        <f>QUOTIENT(112990530000,1000000)</f>
        <v>112990</v>
      </c>
    </row>
    <row r="1006" spans="1:8" ht="21.75" customHeight="1" x14ac:dyDescent="0.15">
      <c r="A1006" s="250"/>
      <c r="B1006" s="23" t="s">
        <v>26</v>
      </c>
      <c r="C1006" s="22">
        <v>3563</v>
      </c>
      <c r="D1006" s="86">
        <f>QUOTIENT(15343443958000,1000000)</f>
        <v>15343443</v>
      </c>
      <c r="E1006" s="86">
        <f>QUOTIENT(481050694000,1000000)</f>
        <v>481050</v>
      </c>
      <c r="F1006" s="87">
        <f>QUOTIENT(10260033411000,1000000)</f>
        <v>10260033</v>
      </c>
      <c r="G1006" s="87">
        <f>QUOTIENT(4591512853000,1000000)</f>
        <v>4591512</v>
      </c>
      <c r="H1006" s="88">
        <f>QUOTIENT(10847000000,1000000)</f>
        <v>10847</v>
      </c>
    </row>
    <row r="1007" spans="1:8" ht="21.75" customHeight="1" x14ac:dyDescent="0.15">
      <c r="A1007" s="250"/>
      <c r="B1007" s="24" t="s">
        <v>25</v>
      </c>
      <c r="C1007" s="22">
        <v>568</v>
      </c>
      <c r="D1007" s="86">
        <f>QUOTIENT(22606900000000,1000000)</f>
        <v>22606900</v>
      </c>
      <c r="E1007" s="86">
        <f>QUOTIENT(1658469200000,1000000)</f>
        <v>1658469</v>
      </c>
      <c r="F1007" s="87">
        <f>QUOTIENT(9557890300000,1000000)</f>
        <v>9557890</v>
      </c>
      <c r="G1007" s="87">
        <f>QUOTIENT(11329678500000,1000000)</f>
        <v>11329678</v>
      </c>
      <c r="H1007" s="88">
        <f>QUOTIENT(60862000000,1000000)</f>
        <v>60862</v>
      </c>
    </row>
    <row r="1008" spans="1:8" ht="21.75" customHeight="1" x14ac:dyDescent="0.15">
      <c r="A1008" s="250"/>
      <c r="B1008" s="23" t="s">
        <v>24</v>
      </c>
      <c r="C1008" s="22">
        <v>2097</v>
      </c>
      <c r="D1008" s="86">
        <f>QUOTIENT(57437600000000,1000000)</f>
        <v>57437600</v>
      </c>
      <c r="E1008" s="86">
        <f>QUOTIENT(7388318200000,1000000)</f>
        <v>7388318</v>
      </c>
      <c r="F1008" s="87">
        <f>QUOTIENT(20149064100000,1000000)</f>
        <v>20149064</v>
      </c>
      <c r="G1008" s="87">
        <f>QUOTIENT(29895867700000,1000000)</f>
        <v>29895867</v>
      </c>
      <c r="H1008" s="88">
        <f>QUOTIENT(4350000000,1000000)</f>
        <v>4350</v>
      </c>
    </row>
    <row r="1009" spans="1:8" ht="21.75" customHeight="1" x14ac:dyDescent="0.15">
      <c r="A1009" s="250"/>
      <c r="B1009" s="23" t="s">
        <v>23</v>
      </c>
      <c r="C1009" s="22">
        <v>486</v>
      </c>
      <c r="D1009" s="86">
        <f>QUOTIENT(5056087000000,1000000)</f>
        <v>5056087</v>
      </c>
      <c r="E1009" s="86">
        <f>QUOTIENT(328755000000,1000000)</f>
        <v>328755</v>
      </c>
      <c r="F1009" s="87">
        <f>QUOTIENT(103005600000,1000000)</f>
        <v>103005</v>
      </c>
      <c r="G1009" s="87">
        <f>QUOTIENT(4624326400000,1000000)</f>
        <v>4624326</v>
      </c>
      <c r="H1009" s="88">
        <f>QUOTIENT(0,1000000)</f>
        <v>0</v>
      </c>
    </row>
    <row r="1010" spans="1:8" ht="21.75" customHeight="1" x14ac:dyDescent="0.15">
      <c r="A1010" s="250"/>
      <c r="B1010" s="23" t="s">
        <v>22</v>
      </c>
      <c r="C1010" s="22">
        <v>164</v>
      </c>
      <c r="D1010" s="86">
        <f>QUOTIENT(1316300000000,1000000)</f>
        <v>1316300</v>
      </c>
      <c r="E1010" s="86">
        <f>QUOTIENT(332920000000,1000000)</f>
        <v>332920</v>
      </c>
      <c r="F1010" s="87">
        <f>QUOTIENT(471900000000,1000000)</f>
        <v>471900</v>
      </c>
      <c r="G1010" s="87">
        <f>QUOTIENT(511480000000,1000000)</f>
        <v>511480</v>
      </c>
      <c r="H1010" s="88">
        <f>QUOTIENT(0,1000000)</f>
        <v>0</v>
      </c>
    </row>
    <row r="1011" spans="1:8" ht="21.75" customHeight="1" x14ac:dyDescent="0.15">
      <c r="A1011" s="250"/>
      <c r="B1011" s="23" t="s">
        <v>21</v>
      </c>
      <c r="C1011" s="22">
        <v>21</v>
      </c>
      <c r="D1011" s="86">
        <f>QUOTIENT(133500000000,1000000)</f>
        <v>133500</v>
      </c>
      <c r="E1011" s="86">
        <f>QUOTIENT(110493000000,1000000)</f>
        <v>110493</v>
      </c>
      <c r="F1011" s="87">
        <f>QUOTIENT(13245000000,1000000)</f>
        <v>13245</v>
      </c>
      <c r="G1011" s="87">
        <f>QUOTIENT(9762000000,1000000)</f>
        <v>9762</v>
      </c>
      <c r="H1011" s="88">
        <f>QUOTIENT(0,1000000)</f>
        <v>0</v>
      </c>
    </row>
    <row r="1012" spans="1:8" ht="21.75" customHeight="1" x14ac:dyDescent="0.15">
      <c r="A1012" s="250"/>
      <c r="B1012" s="23" t="s">
        <v>20</v>
      </c>
      <c r="C1012" s="22">
        <v>0</v>
      </c>
      <c r="D1012" s="86">
        <f>QUOTIENT(0,1000000)</f>
        <v>0</v>
      </c>
      <c r="E1012" s="86">
        <f>QUOTIENT(0,1000000)</f>
        <v>0</v>
      </c>
      <c r="F1012" s="87">
        <f>QUOTIENT(0,1000000)</f>
        <v>0</v>
      </c>
      <c r="G1012" s="87">
        <f>QUOTIENT(0,1000000)</f>
        <v>0</v>
      </c>
      <c r="H1012" s="88">
        <f>QUOTIENT(0,1000000)</f>
        <v>0</v>
      </c>
    </row>
    <row r="1013" spans="1:8" ht="21.75" customHeight="1" x14ac:dyDescent="0.15">
      <c r="A1013" s="250"/>
      <c r="B1013" s="23" t="s">
        <v>19</v>
      </c>
      <c r="C1013" s="22">
        <v>214</v>
      </c>
      <c r="D1013" s="86">
        <f>QUOTIENT(5271060000000,1000000)</f>
        <v>5271060</v>
      </c>
      <c r="E1013" s="86">
        <f>QUOTIENT(576960000000,1000000)</f>
        <v>576960</v>
      </c>
      <c r="F1013" s="87">
        <f>QUOTIENT(2626260000000,1000000)</f>
        <v>2626260</v>
      </c>
      <c r="G1013" s="87">
        <f>QUOTIENT(2010180000000,1000000)</f>
        <v>2010180</v>
      </c>
      <c r="H1013" s="88">
        <f>QUOTIENT(57660000000,1000000)</f>
        <v>57660</v>
      </c>
    </row>
    <row r="1014" spans="1:8" ht="21.75" customHeight="1" x14ac:dyDescent="0.15">
      <c r="A1014" s="250"/>
      <c r="B1014" s="23" t="s">
        <v>18</v>
      </c>
      <c r="C1014" s="22">
        <v>4012</v>
      </c>
      <c r="D1014" s="86">
        <f>QUOTIENT(82747486000000,1000000)</f>
        <v>82747486</v>
      </c>
      <c r="E1014" s="86">
        <f>QUOTIENT(19402098200000,1000000)</f>
        <v>19402098</v>
      </c>
      <c r="F1014" s="87">
        <f>QUOTIENT(33031680800000,1000000)</f>
        <v>33031680</v>
      </c>
      <c r="G1014" s="87">
        <f>QUOTIENT(29715518000000,1000000)</f>
        <v>29715518</v>
      </c>
      <c r="H1014" s="88">
        <f>QUOTIENT(598189000000,1000000)</f>
        <v>598189</v>
      </c>
    </row>
    <row r="1015" spans="1:8" ht="21.75" customHeight="1" x14ac:dyDescent="0.15">
      <c r="A1015" s="250"/>
      <c r="B1015" s="23" t="s">
        <v>17</v>
      </c>
      <c r="C1015" s="22">
        <v>730</v>
      </c>
      <c r="D1015" s="86">
        <f>QUOTIENT(17083360000000,1000000)</f>
        <v>17083360</v>
      </c>
      <c r="E1015" s="86">
        <f>QUOTIENT(4010552500000,1000000)</f>
        <v>4010552</v>
      </c>
      <c r="F1015" s="87">
        <f>QUOTIENT(7468494400000,1000000)</f>
        <v>7468494</v>
      </c>
      <c r="G1015" s="87">
        <f>QUOTIENT(5552372100000,1000000)</f>
        <v>5552372</v>
      </c>
      <c r="H1015" s="88">
        <f>QUOTIENT(51941000000,1000000)</f>
        <v>51941</v>
      </c>
    </row>
    <row r="1016" spans="1:8" ht="21.75" customHeight="1" x14ac:dyDescent="0.15">
      <c r="A1016" s="250"/>
      <c r="B1016" s="23" t="s">
        <v>16</v>
      </c>
      <c r="C1016" s="22">
        <v>64137</v>
      </c>
      <c r="D1016" s="86">
        <f>QUOTIENT(15933112120000,1000000)</f>
        <v>15933112</v>
      </c>
      <c r="E1016" s="86">
        <f>QUOTIENT(4430913126000,1000000)</f>
        <v>4430913</v>
      </c>
      <c r="F1016" s="87">
        <f>QUOTIENT(4968909434000,1000000)</f>
        <v>4968909</v>
      </c>
      <c r="G1016" s="87">
        <f>QUOTIENT(6504899560000,1000000)</f>
        <v>6504899</v>
      </c>
      <c r="H1016" s="88">
        <f>QUOTIENT(28390000000,1000000)</f>
        <v>28390</v>
      </c>
    </row>
    <row r="1017" spans="1:8" ht="21.75" customHeight="1" x14ac:dyDescent="0.15">
      <c r="A1017" s="250"/>
      <c r="B1017" s="23" t="s">
        <v>15</v>
      </c>
      <c r="C1017" s="22">
        <v>485</v>
      </c>
      <c r="D1017" s="86">
        <f>QUOTIENT(4037184370000,1000000)</f>
        <v>4037184</v>
      </c>
      <c r="E1017" s="86">
        <f>QUOTIENT(3428716526000,1000000)</f>
        <v>3428716</v>
      </c>
      <c r="F1017" s="87">
        <f>QUOTIENT(502838304000,1000000)</f>
        <v>502838</v>
      </c>
      <c r="G1017" s="87">
        <f>QUOTIENT(105384540000,1000000)</f>
        <v>105384</v>
      </c>
      <c r="H1017" s="88">
        <f>QUOTIENT(245000000,1000000)</f>
        <v>245</v>
      </c>
    </row>
    <row r="1018" spans="1:8" ht="21.75" customHeight="1" x14ac:dyDescent="0.15">
      <c r="A1018" s="250"/>
      <c r="B1018" s="23" t="s">
        <v>14</v>
      </c>
      <c r="C1018" s="22">
        <v>35</v>
      </c>
      <c r="D1018" s="86">
        <f>QUOTIENT(105700000000,1000000)</f>
        <v>105700</v>
      </c>
      <c r="E1018" s="86">
        <f>QUOTIENT(20300000000,1000000)</f>
        <v>20300</v>
      </c>
      <c r="F1018" s="87">
        <f>QUOTIENT(60300000000,1000000)</f>
        <v>60300</v>
      </c>
      <c r="G1018" s="87">
        <f>QUOTIENT(25100000000,1000000)</f>
        <v>25100</v>
      </c>
      <c r="H1018" s="88">
        <f>QUOTIENT(0,1000000)</f>
        <v>0</v>
      </c>
    </row>
    <row r="1019" spans="1:8" ht="21.75" customHeight="1" x14ac:dyDescent="0.15">
      <c r="A1019" s="250"/>
      <c r="B1019" s="23" t="s">
        <v>13</v>
      </c>
      <c r="C1019" s="22">
        <v>736</v>
      </c>
      <c r="D1019" s="86">
        <f>QUOTIENT(3025572330000,1000000)</f>
        <v>3025572</v>
      </c>
      <c r="E1019" s="86">
        <f>QUOTIENT(201455480000,1000000)</f>
        <v>201455</v>
      </c>
      <c r="F1019" s="87">
        <f>QUOTIENT(1555655860000,1000000)</f>
        <v>1555655</v>
      </c>
      <c r="G1019" s="87">
        <f>QUOTIENT(1268460990000,1000000)</f>
        <v>1268460</v>
      </c>
      <c r="H1019" s="88">
        <f>QUOTIENT(0,1000000)</f>
        <v>0</v>
      </c>
    </row>
    <row r="1020" spans="1:8" ht="21.75" customHeight="1" x14ac:dyDescent="0.15">
      <c r="A1020" s="250"/>
      <c r="B1020" s="23" t="s">
        <v>12</v>
      </c>
      <c r="C1020" s="22">
        <v>272</v>
      </c>
      <c r="D1020" s="86">
        <f>QUOTIENT(7039800000000,1000000)</f>
        <v>7039800</v>
      </c>
      <c r="E1020" s="86">
        <f>QUOTIENT(976568000000,1000000)</f>
        <v>976568</v>
      </c>
      <c r="F1020" s="87">
        <f>QUOTIENT(2256460000000,1000000)</f>
        <v>2256460</v>
      </c>
      <c r="G1020" s="87">
        <f>QUOTIENT(3777672000000,1000000)</f>
        <v>3777672</v>
      </c>
      <c r="H1020" s="88">
        <f>QUOTIENT(29100000000,1000000)</f>
        <v>29100</v>
      </c>
    </row>
    <row r="1021" spans="1:8" ht="21.75" customHeight="1" x14ac:dyDescent="0.15">
      <c r="A1021" s="250"/>
      <c r="B1021" s="23" t="s">
        <v>11</v>
      </c>
      <c r="C1021" s="22">
        <v>63</v>
      </c>
      <c r="D1021" s="86">
        <f>QUOTIENT(1321150000000,1000000)</f>
        <v>1321150</v>
      </c>
      <c r="E1021" s="86">
        <f>QUOTIENT(147200000000,1000000)</f>
        <v>147200</v>
      </c>
      <c r="F1021" s="87">
        <f>QUOTIENT(568350000000,1000000)</f>
        <v>568350</v>
      </c>
      <c r="G1021" s="87">
        <f>QUOTIENT(605600000000,1000000)</f>
        <v>605600</v>
      </c>
      <c r="H1021" s="88">
        <f>QUOTIENT(0,1000000)</f>
        <v>0</v>
      </c>
    </row>
    <row r="1022" spans="1:8" ht="21.75" customHeight="1" x14ac:dyDescent="0.15">
      <c r="A1022" s="250"/>
      <c r="B1022" s="23" t="s">
        <v>10</v>
      </c>
      <c r="C1022" s="22">
        <v>0</v>
      </c>
      <c r="D1022" s="86">
        <f t="shared" ref="D1022:G1024" si="27">QUOTIENT(0,1000000)</f>
        <v>0</v>
      </c>
      <c r="E1022" s="86">
        <f t="shared" si="27"/>
        <v>0</v>
      </c>
      <c r="F1022" s="87">
        <f t="shared" si="27"/>
        <v>0</v>
      </c>
      <c r="G1022" s="87">
        <f t="shared" si="27"/>
        <v>0</v>
      </c>
      <c r="H1022" s="88">
        <f>QUOTIENT(0,1000000)</f>
        <v>0</v>
      </c>
    </row>
    <row r="1023" spans="1:8" ht="21.75" customHeight="1" x14ac:dyDescent="0.15">
      <c r="A1023" s="250"/>
      <c r="B1023" s="23" t="s">
        <v>9</v>
      </c>
      <c r="C1023" s="22">
        <v>0</v>
      </c>
      <c r="D1023" s="86">
        <f t="shared" si="27"/>
        <v>0</v>
      </c>
      <c r="E1023" s="86">
        <f t="shared" si="27"/>
        <v>0</v>
      </c>
      <c r="F1023" s="87">
        <f t="shared" si="27"/>
        <v>0</v>
      </c>
      <c r="G1023" s="87">
        <f t="shared" si="27"/>
        <v>0</v>
      </c>
      <c r="H1023" s="88">
        <f>QUOTIENT(0,1000000)</f>
        <v>0</v>
      </c>
    </row>
    <row r="1024" spans="1:8" ht="21.75" customHeight="1" x14ac:dyDescent="0.15">
      <c r="A1024" s="250"/>
      <c r="B1024" s="23" t="s">
        <v>8</v>
      </c>
      <c r="C1024" s="22">
        <v>0</v>
      </c>
      <c r="D1024" s="86">
        <f t="shared" si="27"/>
        <v>0</v>
      </c>
      <c r="E1024" s="86">
        <f t="shared" si="27"/>
        <v>0</v>
      </c>
      <c r="F1024" s="87">
        <f t="shared" si="27"/>
        <v>0</v>
      </c>
      <c r="G1024" s="87">
        <f t="shared" si="27"/>
        <v>0</v>
      </c>
      <c r="H1024" s="88">
        <f>QUOTIENT(0,1000000)</f>
        <v>0</v>
      </c>
    </row>
    <row r="1025" spans="1:8" ht="21.75" customHeight="1" x14ac:dyDescent="0.15">
      <c r="A1025" s="251"/>
      <c r="B1025" s="23" t="s">
        <v>7</v>
      </c>
      <c r="C1025" s="22">
        <v>55</v>
      </c>
      <c r="D1025" s="86">
        <f>QUOTIENT(18790000000,1000000)</f>
        <v>18790</v>
      </c>
      <c r="E1025" s="86">
        <f>QUOTIENT(0,1000000)</f>
        <v>0</v>
      </c>
      <c r="F1025" s="87">
        <f>QUOTIENT(14000000000,1000000)</f>
        <v>14000</v>
      </c>
      <c r="G1025" s="87">
        <f>QUOTIENT(4790000000,1000000)</f>
        <v>4790</v>
      </c>
      <c r="H1025" s="88">
        <f>QUOTIENT(0,1000000)</f>
        <v>0</v>
      </c>
    </row>
    <row r="1026" spans="1:8" ht="21.75" customHeight="1" x14ac:dyDescent="0.15">
      <c r="A1026" s="18" t="s">
        <v>6</v>
      </c>
      <c r="B1026" s="17" t="s">
        <v>5</v>
      </c>
      <c r="C1026" s="16">
        <v>3272</v>
      </c>
      <c r="D1026" s="80">
        <v>25350066</v>
      </c>
      <c r="E1026" s="80">
        <v>730900</v>
      </c>
      <c r="F1026" s="81">
        <v>14368360</v>
      </c>
      <c r="G1026" s="81">
        <v>8794602</v>
      </c>
      <c r="H1026" s="82">
        <v>1456204</v>
      </c>
    </row>
    <row r="1027" spans="1:8" ht="21.75" customHeight="1" x14ac:dyDescent="0.15">
      <c r="A1027" s="252" t="s">
        <v>4</v>
      </c>
      <c r="B1027" s="12" t="s">
        <v>3</v>
      </c>
      <c r="C1027" s="11">
        <v>5714</v>
      </c>
      <c r="D1027" s="89">
        <f>QUOTIENT(98231860043879,1000000)</f>
        <v>98231860</v>
      </c>
      <c r="E1027" s="89">
        <f>QUOTIENT(61283737878746,1000000)</f>
        <v>61283737</v>
      </c>
      <c r="F1027" s="90">
        <f>QUOTIENT(16988181367286,1000000)</f>
        <v>16988181</v>
      </c>
      <c r="G1027" s="90">
        <f>QUOTIENT(12471858985489,1000000)</f>
        <v>12471858</v>
      </c>
      <c r="H1027" s="91">
        <f>QUOTIENT(7488081812358,1000000)</f>
        <v>7488081</v>
      </c>
    </row>
    <row r="1028" spans="1:8" ht="21.75" customHeight="1" thickBot="1" x14ac:dyDescent="0.2">
      <c r="A1028" s="253"/>
      <c r="B1028" s="7" t="s">
        <v>1153</v>
      </c>
      <c r="C1028" s="6">
        <v>8328</v>
      </c>
      <c r="D1028" s="92" t="s">
        <v>2178</v>
      </c>
      <c r="E1028" s="92" t="s">
        <v>2178</v>
      </c>
      <c r="F1028" s="92" t="s">
        <v>2178</v>
      </c>
      <c r="G1028" s="92" t="s">
        <v>2178</v>
      </c>
      <c r="H1028" s="93" t="s">
        <v>2178</v>
      </c>
    </row>
    <row r="1029" spans="1:8" ht="18" customHeight="1" x14ac:dyDescent="0.15">
      <c r="A1029" s="3" t="s">
        <v>1155</v>
      </c>
      <c r="B1029" s="2"/>
      <c r="C1029" s="2"/>
      <c r="D1029" s="2"/>
      <c r="E1029" s="2"/>
      <c r="F1029" s="2"/>
      <c r="G1029" s="2"/>
      <c r="H1029" s="2"/>
    </row>
    <row r="1030" spans="1:8" ht="18" customHeight="1" x14ac:dyDescent="0.15">
      <c r="A1030" s="3" t="s">
        <v>2587</v>
      </c>
      <c r="B1030" s="2"/>
      <c r="C1030" s="2"/>
      <c r="D1030" s="2"/>
      <c r="E1030" s="2"/>
      <c r="F1030" s="2"/>
      <c r="G1030" s="2"/>
      <c r="H1030" s="2"/>
    </row>
    <row r="1031" spans="1:8" ht="18" customHeight="1" x14ac:dyDescent="0.15">
      <c r="A1031" s="3" t="s">
        <v>1156</v>
      </c>
      <c r="B1031" s="2"/>
      <c r="C1031" s="2"/>
      <c r="D1031" s="2"/>
      <c r="E1031" s="2"/>
      <c r="F1031" s="2"/>
      <c r="G1031" s="2"/>
      <c r="H1031" s="2"/>
    </row>
    <row r="1032" spans="1:8" ht="18" customHeight="1" x14ac:dyDescent="0.15">
      <c r="A1032" s="3" t="s">
        <v>2505</v>
      </c>
      <c r="B1032" s="2"/>
      <c r="C1032" s="2"/>
      <c r="D1032" s="2"/>
      <c r="E1032" s="2"/>
      <c r="F1032" s="2"/>
      <c r="G1032" s="2"/>
      <c r="H1032" s="2"/>
    </row>
    <row r="1033" spans="1:8" ht="24" x14ac:dyDescent="0.15">
      <c r="A1033" s="230" t="s">
        <v>2502</v>
      </c>
      <c r="B1033" s="230"/>
      <c r="C1033" s="230"/>
      <c r="D1033" s="230"/>
      <c r="E1033" s="230"/>
      <c r="F1033" s="230"/>
      <c r="G1033" s="230"/>
      <c r="H1033" s="230"/>
    </row>
    <row r="1034" spans="1:8" ht="18" customHeight="1" x14ac:dyDescent="0.15">
      <c r="A1034" s="231"/>
      <c r="B1034" s="231"/>
      <c r="C1034" s="231"/>
      <c r="D1034" s="231"/>
      <c r="E1034" s="231"/>
      <c r="F1034" s="231"/>
      <c r="G1034" s="231"/>
      <c r="H1034" s="231"/>
    </row>
    <row r="1035" spans="1:8" thickBot="1" x14ac:dyDescent="0.2">
      <c r="A1035" s="58" t="s">
        <v>48</v>
      </c>
    </row>
    <row r="1036" spans="1:8" ht="18" customHeight="1" x14ac:dyDescent="0.15">
      <c r="A1036" s="232" t="s">
        <v>47</v>
      </c>
      <c r="B1036" s="235" t="s">
        <v>46</v>
      </c>
      <c r="C1036" s="238" t="s">
        <v>45</v>
      </c>
      <c r="D1036" s="241" t="s">
        <v>44</v>
      </c>
      <c r="E1036" s="140"/>
      <c r="F1036" s="56"/>
      <c r="G1036" s="56"/>
      <c r="H1036" s="55"/>
    </row>
    <row r="1037" spans="1:8" ht="18" customHeight="1" x14ac:dyDescent="0.15">
      <c r="A1037" s="233"/>
      <c r="B1037" s="236"/>
      <c r="C1037" s="239"/>
      <c r="D1037" s="242"/>
      <c r="E1037" s="244" t="s">
        <v>43</v>
      </c>
      <c r="F1037" s="246" t="s">
        <v>42</v>
      </c>
      <c r="G1037" s="246" t="s">
        <v>41</v>
      </c>
      <c r="H1037" s="248" t="s">
        <v>40</v>
      </c>
    </row>
    <row r="1038" spans="1:8" ht="18" customHeight="1" thickBot="1" x14ac:dyDescent="0.2">
      <c r="A1038" s="234"/>
      <c r="B1038" s="237"/>
      <c r="C1038" s="240"/>
      <c r="D1038" s="243"/>
      <c r="E1038" s="245"/>
      <c r="F1038" s="247"/>
      <c r="G1038" s="247"/>
      <c r="H1038" s="249"/>
    </row>
    <row r="1039" spans="1:8" s="60" customFormat="1" ht="18" customHeight="1" thickTop="1" x14ac:dyDescent="0.15">
      <c r="A1039" s="141"/>
      <c r="B1039" s="142"/>
      <c r="C1039" s="52"/>
      <c r="D1039" s="51" t="s">
        <v>39</v>
      </c>
      <c r="E1039" s="50" t="s">
        <v>39</v>
      </c>
      <c r="F1039" s="49" t="s">
        <v>39</v>
      </c>
      <c r="G1039" s="49" t="s">
        <v>39</v>
      </c>
      <c r="H1039" s="48" t="s">
        <v>39</v>
      </c>
    </row>
    <row r="1040" spans="1:8" ht="21.75" customHeight="1" x14ac:dyDescent="0.15">
      <c r="A1040" s="250" t="s">
        <v>38</v>
      </c>
      <c r="B1040" s="61" t="s">
        <v>37</v>
      </c>
      <c r="C1040" s="62">
        <v>3923</v>
      </c>
      <c r="D1040" s="63">
        <f>QUOTIENT(736916249645764,1000000)</f>
        <v>736916249</v>
      </c>
      <c r="E1040" s="63">
        <f>QUOTIENT(270678556118659,1000000)</f>
        <v>270678556</v>
      </c>
      <c r="F1040" s="64">
        <f>QUOTIENT(226949822007973,1000000)</f>
        <v>226949822</v>
      </c>
      <c r="G1040" s="64">
        <f>QUOTIENT(228274883986825,1000000)</f>
        <v>228274883</v>
      </c>
      <c r="H1040" s="65">
        <f>QUOTIENT(11012987532306,1000000)</f>
        <v>11012987</v>
      </c>
    </row>
    <row r="1041" spans="1:8" ht="21.75" customHeight="1" x14ac:dyDescent="0.15">
      <c r="A1041" s="250"/>
      <c r="B1041" s="66" t="s">
        <v>36</v>
      </c>
      <c r="C1041" s="67">
        <v>18</v>
      </c>
      <c r="D1041" s="68">
        <f>QUOTIENT(95853715000,1000000)</f>
        <v>95853</v>
      </c>
      <c r="E1041" s="68">
        <f>QUOTIENT(24131358000,1000000)</f>
        <v>24131</v>
      </c>
      <c r="F1041" s="69">
        <f>QUOTIENT(70270317000,1000000)</f>
        <v>70270</v>
      </c>
      <c r="G1041" s="69">
        <f>QUOTIENT(1451043000,1000000)</f>
        <v>1451</v>
      </c>
      <c r="H1041" s="115">
        <f>QUOTIENT(997000,1000000)</f>
        <v>0</v>
      </c>
    </row>
    <row r="1042" spans="1:8" ht="21.75" customHeight="1" x14ac:dyDescent="0.15">
      <c r="A1042" s="250"/>
      <c r="B1042" s="66" t="s">
        <v>35</v>
      </c>
      <c r="C1042" s="67">
        <v>99</v>
      </c>
      <c r="D1042" s="68">
        <f>QUOTIENT(0,1000000)</f>
        <v>0</v>
      </c>
      <c r="E1042" s="68">
        <f>QUOTIENT(0,1000000)</f>
        <v>0</v>
      </c>
      <c r="F1042" s="69">
        <f>QUOTIENT(0,1000000)</f>
        <v>0</v>
      </c>
      <c r="G1042" s="69">
        <f>QUOTIENT(0,1000000)</f>
        <v>0</v>
      </c>
      <c r="H1042" s="70">
        <f>QUOTIENT(0,1000000)</f>
        <v>0</v>
      </c>
    </row>
    <row r="1043" spans="1:8" ht="21.75" customHeight="1" x14ac:dyDescent="0.15">
      <c r="A1043" s="250"/>
      <c r="B1043" s="71" t="s">
        <v>34</v>
      </c>
      <c r="C1043" s="72">
        <v>1</v>
      </c>
      <c r="D1043" s="73">
        <f>QUOTIENT(174151789800,1000000)</f>
        <v>174151</v>
      </c>
      <c r="E1043" s="73">
        <f>QUOTIENT(129492907200,1000000)</f>
        <v>129492</v>
      </c>
      <c r="F1043" s="74">
        <f>QUOTIENT(8522894000,1000000)</f>
        <v>8522</v>
      </c>
      <c r="G1043" s="74">
        <f>QUOTIENT(31807656800,1000000)</f>
        <v>31807</v>
      </c>
      <c r="H1043" s="75">
        <f>QUOTIENT(4328331800,1000000)</f>
        <v>4328</v>
      </c>
    </row>
    <row r="1044" spans="1:8" ht="21.75" customHeight="1" x14ac:dyDescent="0.15">
      <c r="A1044" s="250"/>
      <c r="B1044" s="66" t="s">
        <v>33</v>
      </c>
      <c r="C1044" s="67">
        <v>68</v>
      </c>
      <c r="D1044" s="68">
        <f>QUOTIENT(16788360286700,1000000)</f>
        <v>16788360</v>
      </c>
      <c r="E1044" s="68">
        <f>QUOTIENT(4074068853300,1000000)</f>
        <v>4074068</v>
      </c>
      <c r="F1044" s="69">
        <f>QUOTIENT(4974034810300,1000000)</f>
        <v>4974034</v>
      </c>
      <c r="G1044" s="69">
        <f>QUOTIENT(7577118086900,1000000)</f>
        <v>7577118</v>
      </c>
      <c r="H1044" s="70">
        <f>QUOTIENT(163138536200,1000000)</f>
        <v>163138</v>
      </c>
    </row>
    <row r="1045" spans="1:8" ht="21.75" customHeight="1" x14ac:dyDescent="0.15">
      <c r="A1045" s="250"/>
      <c r="B1045" s="76" t="s">
        <v>32</v>
      </c>
      <c r="C1045" s="67">
        <v>223</v>
      </c>
      <c r="D1045" s="68">
        <f>QUOTIENT(61822294410500,1000000)</f>
        <v>61822294</v>
      </c>
      <c r="E1045" s="68">
        <f>QUOTIENT(5168046539019,1000000)</f>
        <v>5168046</v>
      </c>
      <c r="F1045" s="69">
        <f>QUOTIENT(1848704380381,1000000)</f>
        <v>1848704</v>
      </c>
      <c r="G1045" s="69">
        <f>QUOTIENT(54574105730237,1000000)</f>
        <v>54574105</v>
      </c>
      <c r="H1045" s="70">
        <f>QUOTIENT(231437760861,1000000)</f>
        <v>231437</v>
      </c>
    </row>
    <row r="1046" spans="1:8" ht="21.75" customHeight="1" x14ac:dyDescent="0.15">
      <c r="A1046" s="251"/>
      <c r="B1046" s="77" t="s">
        <v>31</v>
      </c>
      <c r="C1046" s="72">
        <v>46</v>
      </c>
      <c r="D1046" s="73">
        <f>QUOTIENT(495271342341,1000000)</f>
        <v>495271</v>
      </c>
      <c r="E1046" s="73">
        <f>QUOTIENT(371236758096,1000000)</f>
        <v>371236</v>
      </c>
      <c r="F1046" s="74">
        <f>QUOTIENT(17789876442,1000000)</f>
        <v>17789</v>
      </c>
      <c r="G1046" s="74">
        <f>QUOTIENT(88934468536,1000000)</f>
        <v>88934</v>
      </c>
      <c r="H1046" s="75">
        <f>QUOTIENT(17310239267,1000000)</f>
        <v>17310</v>
      </c>
    </row>
    <row r="1047" spans="1:8" ht="21.75" customHeight="1" x14ac:dyDescent="0.15">
      <c r="A1047" s="30" t="s">
        <v>30</v>
      </c>
      <c r="B1047" s="78" t="s">
        <v>29</v>
      </c>
      <c r="C1047" s="79">
        <v>27</v>
      </c>
      <c r="D1047" s="80">
        <f>QUOTIENT(137539731306,1000000)</f>
        <v>137539</v>
      </c>
      <c r="E1047" s="80">
        <f>QUOTIENT(120961836186,1000000)</f>
        <v>120961</v>
      </c>
      <c r="F1047" s="81">
        <f>QUOTIENT(870527604,1000000)</f>
        <v>870</v>
      </c>
      <c r="G1047" s="81">
        <f>QUOTIENT(402171600,1000000)</f>
        <v>402</v>
      </c>
      <c r="H1047" s="82">
        <f>QUOTIENT(15305195916,1000000)</f>
        <v>15305</v>
      </c>
    </row>
    <row r="1048" spans="1:8" ht="21.75" customHeight="1" x14ac:dyDescent="0.15">
      <c r="A1048" s="252" t="s">
        <v>28</v>
      </c>
      <c r="B1048" s="17" t="s">
        <v>27</v>
      </c>
      <c r="C1048" s="16">
        <v>3375</v>
      </c>
      <c r="D1048" s="83">
        <f>QUOTIENT(64586616570000,1000000)</f>
        <v>64586616</v>
      </c>
      <c r="E1048" s="83">
        <f>QUOTIENT(9879149080000,1000000)</f>
        <v>9879149</v>
      </c>
      <c r="F1048" s="84">
        <f>QUOTIENT(30261040250000,1000000)</f>
        <v>30261040</v>
      </c>
      <c r="G1048" s="84">
        <f>QUOTIENT(24343670210000,1000000)</f>
        <v>24343670</v>
      </c>
      <c r="H1048" s="85">
        <f>QUOTIENT(102757030000,1000000)</f>
        <v>102757</v>
      </c>
    </row>
    <row r="1049" spans="1:8" ht="21.75" customHeight="1" x14ac:dyDescent="0.15">
      <c r="A1049" s="250"/>
      <c r="B1049" s="23" t="s">
        <v>26</v>
      </c>
      <c r="C1049" s="22">
        <v>3556</v>
      </c>
      <c r="D1049" s="86">
        <f>QUOTIENT(15274151073000,1000000)</f>
        <v>15274151</v>
      </c>
      <c r="E1049" s="86">
        <f>QUOTIENT(486291694000,1000000)</f>
        <v>486291</v>
      </c>
      <c r="F1049" s="87">
        <f>QUOTIENT(10287162311000,1000000)</f>
        <v>10287162</v>
      </c>
      <c r="G1049" s="87">
        <f>QUOTIENT(4489850068000,1000000)</f>
        <v>4489850</v>
      </c>
      <c r="H1049" s="88">
        <f>QUOTIENT(10847000000,1000000)</f>
        <v>10847</v>
      </c>
    </row>
    <row r="1050" spans="1:8" ht="21.75" customHeight="1" x14ac:dyDescent="0.15">
      <c r="A1050" s="250"/>
      <c r="B1050" s="24" t="s">
        <v>25</v>
      </c>
      <c r="C1050" s="22">
        <v>570</v>
      </c>
      <c r="D1050" s="86">
        <f>QUOTIENT(22826900000000,1000000)</f>
        <v>22826900</v>
      </c>
      <c r="E1050" s="86">
        <f>QUOTIENT(1681903100000,1000000)</f>
        <v>1681903</v>
      </c>
      <c r="F1050" s="87">
        <f>QUOTIENT(9823228900000,1000000)</f>
        <v>9823228</v>
      </c>
      <c r="G1050" s="87">
        <f>QUOTIENT(11260041000000,1000000)</f>
        <v>11260041</v>
      </c>
      <c r="H1050" s="88">
        <f>QUOTIENT(61727000000,1000000)</f>
        <v>61727</v>
      </c>
    </row>
    <row r="1051" spans="1:8" ht="21.75" customHeight="1" x14ac:dyDescent="0.15">
      <c r="A1051" s="250"/>
      <c r="B1051" s="23" t="s">
        <v>24</v>
      </c>
      <c r="C1051" s="22">
        <v>2087</v>
      </c>
      <c r="D1051" s="86">
        <f>QUOTIENT(58254600000000,1000000)</f>
        <v>58254600</v>
      </c>
      <c r="E1051" s="86">
        <f>QUOTIENT(7333048200000,1000000)</f>
        <v>7333048</v>
      </c>
      <c r="F1051" s="87">
        <f>QUOTIENT(20152734100000,1000000)</f>
        <v>20152734</v>
      </c>
      <c r="G1051" s="87">
        <f>QUOTIENT(30764467700000,1000000)</f>
        <v>30764467</v>
      </c>
      <c r="H1051" s="88">
        <f>QUOTIENT(4350000000,1000000)</f>
        <v>4350</v>
      </c>
    </row>
    <row r="1052" spans="1:8" ht="21.75" customHeight="1" x14ac:dyDescent="0.15">
      <c r="A1052" s="250"/>
      <c r="B1052" s="23" t="s">
        <v>23</v>
      </c>
      <c r="C1052" s="22">
        <v>484</v>
      </c>
      <c r="D1052" s="86">
        <f>QUOTIENT(5042087000000,1000000)</f>
        <v>5042087</v>
      </c>
      <c r="E1052" s="86">
        <f>QUOTIENT(339141800000,1000000)</f>
        <v>339141</v>
      </c>
      <c r="F1052" s="87">
        <f>QUOTIENT(103005600000,1000000)</f>
        <v>103005</v>
      </c>
      <c r="G1052" s="87">
        <f>QUOTIENT(4599939600000,1000000)</f>
        <v>4599939</v>
      </c>
      <c r="H1052" s="88">
        <f>QUOTIENT(0,1000000)</f>
        <v>0</v>
      </c>
    </row>
    <row r="1053" spans="1:8" ht="21.75" customHeight="1" x14ac:dyDescent="0.15">
      <c r="A1053" s="250"/>
      <c r="B1053" s="23" t="s">
        <v>22</v>
      </c>
      <c r="C1053" s="22">
        <v>163</v>
      </c>
      <c r="D1053" s="86">
        <f>QUOTIENT(1313300000000,1000000)</f>
        <v>1313300</v>
      </c>
      <c r="E1053" s="86">
        <f>QUOTIENT(332220000000,1000000)</f>
        <v>332220</v>
      </c>
      <c r="F1053" s="87">
        <f>QUOTIENT(470000000000,1000000)</f>
        <v>470000</v>
      </c>
      <c r="G1053" s="87">
        <f>QUOTIENT(511080000000,1000000)</f>
        <v>511080</v>
      </c>
      <c r="H1053" s="88">
        <f>QUOTIENT(0,1000000)</f>
        <v>0</v>
      </c>
    </row>
    <row r="1054" spans="1:8" ht="21.75" customHeight="1" x14ac:dyDescent="0.15">
      <c r="A1054" s="250"/>
      <c r="B1054" s="23" t="s">
        <v>21</v>
      </c>
      <c r="C1054" s="22">
        <v>21</v>
      </c>
      <c r="D1054" s="86">
        <f>QUOTIENT(133500000000,1000000)</f>
        <v>133500</v>
      </c>
      <c r="E1054" s="86">
        <f>QUOTIENT(110493000000,1000000)</f>
        <v>110493</v>
      </c>
      <c r="F1054" s="87">
        <f>QUOTIENT(13245000000,1000000)</f>
        <v>13245</v>
      </c>
      <c r="G1054" s="87">
        <f>QUOTIENT(9762000000,1000000)</f>
        <v>9762</v>
      </c>
      <c r="H1054" s="88">
        <f>QUOTIENT(0,1000000)</f>
        <v>0</v>
      </c>
    </row>
    <row r="1055" spans="1:8" ht="21.75" customHeight="1" x14ac:dyDescent="0.15">
      <c r="A1055" s="250"/>
      <c r="B1055" s="23" t="s">
        <v>20</v>
      </c>
      <c r="C1055" s="22">
        <v>0</v>
      </c>
      <c r="D1055" s="86">
        <f>QUOTIENT(0,1000000)</f>
        <v>0</v>
      </c>
      <c r="E1055" s="86">
        <f>QUOTIENT(0,1000000)</f>
        <v>0</v>
      </c>
      <c r="F1055" s="87">
        <f>QUOTIENT(0,1000000)</f>
        <v>0</v>
      </c>
      <c r="G1055" s="87">
        <f>QUOTIENT(0,1000000)</f>
        <v>0</v>
      </c>
      <c r="H1055" s="88">
        <f>QUOTIENT(0,1000000)</f>
        <v>0</v>
      </c>
    </row>
    <row r="1056" spans="1:8" ht="21.75" customHeight="1" x14ac:dyDescent="0.15">
      <c r="A1056" s="250"/>
      <c r="B1056" s="23" t="s">
        <v>19</v>
      </c>
      <c r="C1056" s="22">
        <v>215</v>
      </c>
      <c r="D1056" s="86">
        <f>QUOTIENT(5329940000000,1000000)</f>
        <v>5329940</v>
      </c>
      <c r="E1056" s="86">
        <f>QUOTIENT(572100000000,1000000)</f>
        <v>572100</v>
      </c>
      <c r="F1056" s="87">
        <f>QUOTIENT(2633890000000,1000000)</f>
        <v>2633890</v>
      </c>
      <c r="G1056" s="87">
        <f>QUOTIENT(2062090000000,1000000)</f>
        <v>2062090</v>
      </c>
      <c r="H1056" s="88">
        <f>QUOTIENT(61860000000,1000000)</f>
        <v>61860</v>
      </c>
    </row>
    <row r="1057" spans="1:8" ht="21.75" customHeight="1" x14ac:dyDescent="0.15">
      <c r="A1057" s="250"/>
      <c r="B1057" s="23" t="s">
        <v>18</v>
      </c>
      <c r="C1057" s="22">
        <v>3993</v>
      </c>
      <c r="D1057" s="86">
        <f>QUOTIENT(81926724500000,1000000)</f>
        <v>81926724</v>
      </c>
      <c r="E1057" s="86">
        <f>QUOTIENT(19156754400000,1000000)</f>
        <v>19156754</v>
      </c>
      <c r="F1057" s="87">
        <f>QUOTIENT(32828010100000,1000000)</f>
        <v>32828010</v>
      </c>
      <c r="G1057" s="87">
        <f>QUOTIENT(29349635000000,1000000)</f>
        <v>29349635</v>
      </c>
      <c r="H1057" s="88">
        <f>QUOTIENT(592325000000,1000000)</f>
        <v>592325</v>
      </c>
    </row>
    <row r="1058" spans="1:8" ht="21.75" customHeight="1" x14ac:dyDescent="0.15">
      <c r="A1058" s="250"/>
      <c r="B1058" s="23" t="s">
        <v>17</v>
      </c>
      <c r="C1058" s="22">
        <v>711</v>
      </c>
      <c r="D1058" s="86">
        <f>QUOTIENT(16433360000000,1000000)</f>
        <v>16433360</v>
      </c>
      <c r="E1058" s="86">
        <f>QUOTIENT(3861305800000,1000000)</f>
        <v>3861305</v>
      </c>
      <c r="F1058" s="87">
        <f>QUOTIENT(7285551100000,1000000)</f>
        <v>7285551</v>
      </c>
      <c r="G1058" s="87">
        <f>QUOTIENT(5234462100000,1000000)</f>
        <v>5234462</v>
      </c>
      <c r="H1058" s="88">
        <f>QUOTIENT(52041000000,1000000)</f>
        <v>52041</v>
      </c>
    </row>
    <row r="1059" spans="1:8" ht="21.75" customHeight="1" x14ac:dyDescent="0.15">
      <c r="A1059" s="250"/>
      <c r="B1059" s="23" t="s">
        <v>16</v>
      </c>
      <c r="C1059" s="22">
        <v>64086</v>
      </c>
      <c r="D1059" s="86">
        <f>QUOTIENT(15940804108000,1000000)</f>
        <v>15940804</v>
      </c>
      <c r="E1059" s="86">
        <f>QUOTIENT(4450875126000,1000000)</f>
        <v>4450875</v>
      </c>
      <c r="F1059" s="87">
        <f>QUOTIENT(4974434434000,1000000)</f>
        <v>4974434</v>
      </c>
      <c r="G1059" s="87">
        <f>QUOTIENT(6487104548000,1000000)</f>
        <v>6487104</v>
      </c>
      <c r="H1059" s="88">
        <f>QUOTIENT(28390000000,1000000)</f>
        <v>28390</v>
      </c>
    </row>
    <row r="1060" spans="1:8" ht="21.75" customHeight="1" x14ac:dyDescent="0.15">
      <c r="A1060" s="250"/>
      <c r="B1060" s="23" t="s">
        <v>15</v>
      </c>
      <c r="C1060" s="22">
        <v>497</v>
      </c>
      <c r="D1060" s="86">
        <f>QUOTIENT(4022237449000,1000000)</f>
        <v>4022237</v>
      </c>
      <c r="E1060" s="86">
        <f>QUOTIENT(3410108526000,1000000)</f>
        <v>3410108</v>
      </c>
      <c r="F1060" s="87">
        <f>QUOTIENT(502874395000,1000000)</f>
        <v>502874</v>
      </c>
      <c r="G1060" s="87">
        <f>QUOTIENT(109009528000,1000000)</f>
        <v>109009</v>
      </c>
      <c r="H1060" s="88">
        <f>QUOTIENT(245000000,1000000)</f>
        <v>245</v>
      </c>
    </row>
    <row r="1061" spans="1:8" ht="21.75" customHeight="1" x14ac:dyDescent="0.15">
      <c r="A1061" s="250"/>
      <c r="B1061" s="23" t="s">
        <v>14</v>
      </c>
      <c r="C1061" s="22">
        <v>35</v>
      </c>
      <c r="D1061" s="86">
        <f>QUOTIENT(105700000000,1000000)</f>
        <v>105700</v>
      </c>
      <c r="E1061" s="86">
        <f>QUOTIENT(20300000000,1000000)</f>
        <v>20300</v>
      </c>
      <c r="F1061" s="87">
        <f>QUOTIENT(60300000000,1000000)</f>
        <v>60300</v>
      </c>
      <c r="G1061" s="87">
        <f>QUOTIENT(25100000000,1000000)</f>
        <v>25100</v>
      </c>
      <c r="H1061" s="88">
        <f>QUOTIENT(0,1000000)</f>
        <v>0</v>
      </c>
    </row>
    <row r="1062" spans="1:8" ht="21.75" customHeight="1" x14ac:dyDescent="0.15">
      <c r="A1062" s="250"/>
      <c r="B1062" s="23" t="s">
        <v>13</v>
      </c>
      <c r="C1062" s="22">
        <v>726</v>
      </c>
      <c r="D1062" s="86">
        <f>QUOTIENT(2984291830000,1000000)</f>
        <v>2984291</v>
      </c>
      <c r="E1062" s="86">
        <f>QUOTIENT(206455480000,1000000)</f>
        <v>206455</v>
      </c>
      <c r="F1062" s="87">
        <f>QUOTIENT(1513063360000,1000000)</f>
        <v>1513063</v>
      </c>
      <c r="G1062" s="87">
        <f>QUOTIENT(1264772990000,1000000)</f>
        <v>1264772</v>
      </c>
      <c r="H1062" s="88">
        <f>QUOTIENT(0,1000000)</f>
        <v>0</v>
      </c>
    </row>
    <row r="1063" spans="1:8" ht="21.75" customHeight="1" x14ac:dyDescent="0.15">
      <c r="A1063" s="250"/>
      <c r="B1063" s="23" t="s">
        <v>12</v>
      </c>
      <c r="C1063" s="22">
        <v>268</v>
      </c>
      <c r="D1063" s="86">
        <f>QUOTIENT(6969800000000,1000000)</f>
        <v>6969800</v>
      </c>
      <c r="E1063" s="86">
        <f>QUOTIENT(970274000000,1000000)</f>
        <v>970274</v>
      </c>
      <c r="F1063" s="87">
        <f>QUOTIENT(2213454000000,1000000)</f>
        <v>2213454</v>
      </c>
      <c r="G1063" s="87">
        <f>QUOTIENT(3757272000000,1000000)</f>
        <v>3757272</v>
      </c>
      <c r="H1063" s="88">
        <f>QUOTIENT(28800000000,1000000)</f>
        <v>28800</v>
      </c>
    </row>
    <row r="1064" spans="1:8" ht="21.75" customHeight="1" x14ac:dyDescent="0.15">
      <c r="A1064" s="250"/>
      <c r="B1064" s="23" t="s">
        <v>11</v>
      </c>
      <c r="C1064" s="22">
        <v>63</v>
      </c>
      <c r="D1064" s="86">
        <f>QUOTIENT(1321150000000,1000000)</f>
        <v>1321150</v>
      </c>
      <c r="E1064" s="86">
        <f>QUOTIENT(156900000000,1000000)</f>
        <v>156900</v>
      </c>
      <c r="F1064" s="87">
        <f>QUOTIENT(564150000000,1000000)</f>
        <v>564150</v>
      </c>
      <c r="G1064" s="87">
        <f>QUOTIENT(600100000000,1000000)</f>
        <v>600100</v>
      </c>
      <c r="H1064" s="88">
        <f>QUOTIENT(0,1000000)</f>
        <v>0</v>
      </c>
    </row>
    <row r="1065" spans="1:8" ht="21.75" customHeight="1" x14ac:dyDescent="0.15">
      <c r="A1065" s="250"/>
      <c r="B1065" s="23" t="s">
        <v>10</v>
      </c>
      <c r="C1065" s="22">
        <v>0</v>
      </c>
      <c r="D1065" s="86">
        <f t="shared" ref="D1065:G1067" si="28">QUOTIENT(0,1000000)</f>
        <v>0</v>
      </c>
      <c r="E1065" s="86">
        <f t="shared" si="28"/>
        <v>0</v>
      </c>
      <c r="F1065" s="87">
        <f t="shared" si="28"/>
        <v>0</v>
      </c>
      <c r="G1065" s="87">
        <f t="shared" si="28"/>
        <v>0</v>
      </c>
      <c r="H1065" s="88">
        <f>QUOTIENT(0,1000000)</f>
        <v>0</v>
      </c>
    </row>
    <row r="1066" spans="1:8" ht="21.75" customHeight="1" x14ac:dyDescent="0.15">
      <c r="A1066" s="250"/>
      <c r="B1066" s="23" t="s">
        <v>9</v>
      </c>
      <c r="C1066" s="22">
        <v>0</v>
      </c>
      <c r="D1066" s="86">
        <f t="shared" si="28"/>
        <v>0</v>
      </c>
      <c r="E1066" s="86">
        <f t="shared" si="28"/>
        <v>0</v>
      </c>
      <c r="F1066" s="87">
        <f t="shared" si="28"/>
        <v>0</v>
      </c>
      <c r="G1066" s="87">
        <f t="shared" si="28"/>
        <v>0</v>
      </c>
      <c r="H1066" s="88">
        <f>QUOTIENT(0,1000000)</f>
        <v>0</v>
      </c>
    </row>
    <row r="1067" spans="1:8" ht="21.75" customHeight="1" x14ac:dyDescent="0.15">
      <c r="A1067" s="250"/>
      <c r="B1067" s="23" t="s">
        <v>8</v>
      </c>
      <c r="C1067" s="22">
        <v>0</v>
      </c>
      <c r="D1067" s="86">
        <f t="shared" si="28"/>
        <v>0</v>
      </c>
      <c r="E1067" s="86">
        <f t="shared" si="28"/>
        <v>0</v>
      </c>
      <c r="F1067" s="87">
        <f t="shared" si="28"/>
        <v>0</v>
      </c>
      <c r="G1067" s="87">
        <f t="shared" si="28"/>
        <v>0</v>
      </c>
      <c r="H1067" s="88">
        <f>QUOTIENT(0,1000000)</f>
        <v>0</v>
      </c>
    </row>
    <row r="1068" spans="1:8" ht="21.75" customHeight="1" x14ac:dyDescent="0.15">
      <c r="A1068" s="251"/>
      <c r="B1068" s="23" t="s">
        <v>7</v>
      </c>
      <c r="C1068" s="22">
        <v>54</v>
      </c>
      <c r="D1068" s="86">
        <f>QUOTIENT(18690000000,1000000)</f>
        <v>18690</v>
      </c>
      <c r="E1068" s="86">
        <f>QUOTIENT(0,1000000)</f>
        <v>0</v>
      </c>
      <c r="F1068" s="87">
        <f>QUOTIENT(14000000000,1000000)</f>
        <v>14000</v>
      </c>
      <c r="G1068" s="87">
        <f>QUOTIENT(4690000000,1000000)</f>
        <v>4690</v>
      </c>
      <c r="H1068" s="88">
        <f>QUOTIENT(0,1000000)</f>
        <v>0</v>
      </c>
    </row>
    <row r="1069" spans="1:8" ht="21.75" customHeight="1" x14ac:dyDescent="0.15">
      <c r="A1069" s="18" t="s">
        <v>6</v>
      </c>
      <c r="B1069" s="17" t="s">
        <v>5</v>
      </c>
      <c r="C1069" s="16">
        <v>3078</v>
      </c>
      <c r="D1069" s="80">
        <v>19785813</v>
      </c>
      <c r="E1069" s="80">
        <v>787500</v>
      </c>
      <c r="F1069" s="81">
        <v>10785268</v>
      </c>
      <c r="G1069" s="81">
        <v>6872768</v>
      </c>
      <c r="H1069" s="82">
        <v>1340277</v>
      </c>
    </row>
    <row r="1070" spans="1:8" ht="21.75" customHeight="1" x14ac:dyDescent="0.15">
      <c r="A1070" s="252" t="s">
        <v>4</v>
      </c>
      <c r="B1070" s="12" t="s">
        <v>3</v>
      </c>
      <c r="C1070" s="11">
        <v>5716</v>
      </c>
      <c r="D1070" s="89">
        <f>QUOTIENT(101495219259213,1000000)</f>
        <v>101495219</v>
      </c>
      <c r="E1070" s="89">
        <f>QUOTIENT(63560505514598,1000000)</f>
        <v>63560505</v>
      </c>
      <c r="F1070" s="90">
        <f>QUOTIENT(17393370452924,1000000)</f>
        <v>17393370</v>
      </c>
      <c r="G1070" s="90">
        <f>QUOTIENT(12834185593175,1000000)</f>
        <v>12834185</v>
      </c>
      <c r="H1070" s="91">
        <f>QUOTIENT(7707157698516,1000000)</f>
        <v>7707157</v>
      </c>
    </row>
    <row r="1071" spans="1:8" ht="21.75" customHeight="1" thickBot="1" x14ac:dyDescent="0.2">
      <c r="A1071" s="253"/>
      <c r="B1071" s="7" t="s">
        <v>1153</v>
      </c>
      <c r="C1071" s="6">
        <v>8297</v>
      </c>
      <c r="D1071" s="92" t="s">
        <v>2178</v>
      </c>
      <c r="E1071" s="92" t="s">
        <v>2178</v>
      </c>
      <c r="F1071" s="92" t="s">
        <v>2178</v>
      </c>
      <c r="G1071" s="92" t="s">
        <v>2178</v>
      </c>
      <c r="H1071" s="93" t="s">
        <v>2178</v>
      </c>
    </row>
    <row r="1072" spans="1:8" ht="18" customHeight="1" x14ac:dyDescent="0.15">
      <c r="A1072" s="3" t="s">
        <v>1155</v>
      </c>
      <c r="B1072" s="2"/>
      <c r="C1072" s="2"/>
      <c r="D1072" s="2"/>
      <c r="E1072" s="2"/>
      <c r="F1072" s="2"/>
      <c r="G1072" s="2"/>
      <c r="H1072" s="2"/>
    </row>
    <row r="1073" spans="1:8" ht="18" customHeight="1" x14ac:dyDescent="0.15">
      <c r="A1073" s="3" t="s">
        <v>2587</v>
      </c>
      <c r="B1073" s="2"/>
      <c r="C1073" s="2"/>
      <c r="D1073" s="2"/>
      <c r="E1073" s="2"/>
      <c r="F1073" s="2"/>
      <c r="G1073" s="2"/>
      <c r="H1073" s="2"/>
    </row>
    <row r="1074" spans="1:8" ht="18" customHeight="1" x14ac:dyDescent="0.15">
      <c r="A1074" s="3" t="s">
        <v>1156</v>
      </c>
      <c r="B1074" s="2"/>
      <c r="C1074" s="2"/>
      <c r="D1074" s="2"/>
      <c r="E1074" s="2"/>
      <c r="F1074" s="2"/>
      <c r="G1074" s="2"/>
      <c r="H1074" s="2"/>
    </row>
    <row r="1075" spans="1:8" ht="18" customHeight="1" x14ac:dyDescent="0.15">
      <c r="A1075" s="3" t="s">
        <v>2503</v>
      </c>
      <c r="B1075" s="2"/>
      <c r="C1075" s="2"/>
      <c r="D1075" s="2"/>
      <c r="E1075" s="2"/>
      <c r="F1075" s="2"/>
      <c r="G1075" s="2"/>
      <c r="H1075" s="2"/>
    </row>
    <row r="1076" spans="1:8" ht="24" x14ac:dyDescent="0.15">
      <c r="A1076" s="230" t="s">
        <v>2500</v>
      </c>
      <c r="B1076" s="230"/>
      <c r="C1076" s="230"/>
      <c r="D1076" s="230"/>
      <c r="E1076" s="230"/>
      <c r="F1076" s="230"/>
      <c r="G1076" s="230"/>
      <c r="H1076" s="230"/>
    </row>
    <row r="1077" spans="1:8" ht="18" customHeight="1" x14ac:dyDescent="0.15">
      <c r="A1077" s="231"/>
      <c r="B1077" s="231"/>
      <c r="C1077" s="231"/>
      <c r="D1077" s="231"/>
      <c r="E1077" s="231"/>
      <c r="F1077" s="231"/>
      <c r="G1077" s="231"/>
      <c r="H1077" s="231"/>
    </row>
    <row r="1078" spans="1:8" thickBot="1" x14ac:dyDescent="0.2">
      <c r="A1078" s="58" t="s">
        <v>48</v>
      </c>
    </row>
    <row r="1079" spans="1:8" ht="18" customHeight="1" x14ac:dyDescent="0.15">
      <c r="A1079" s="262" t="s">
        <v>47</v>
      </c>
      <c r="B1079" s="265" t="s">
        <v>46</v>
      </c>
      <c r="C1079" s="268" t="s">
        <v>45</v>
      </c>
      <c r="D1079" s="271" t="s">
        <v>44</v>
      </c>
      <c r="E1079" s="137"/>
      <c r="F1079" s="56"/>
      <c r="G1079" s="56"/>
      <c r="H1079" s="55"/>
    </row>
    <row r="1080" spans="1:8" ht="18" customHeight="1" x14ac:dyDescent="0.15">
      <c r="A1080" s="263"/>
      <c r="B1080" s="266"/>
      <c r="C1080" s="269"/>
      <c r="D1080" s="272"/>
      <c r="E1080" s="258" t="s">
        <v>43</v>
      </c>
      <c r="F1080" s="246" t="s">
        <v>42</v>
      </c>
      <c r="G1080" s="246" t="s">
        <v>41</v>
      </c>
      <c r="H1080" s="273" t="s">
        <v>40</v>
      </c>
    </row>
    <row r="1081" spans="1:8" ht="18" customHeight="1" thickBot="1" x14ac:dyDescent="0.2">
      <c r="A1081" s="264"/>
      <c r="B1081" s="267"/>
      <c r="C1081" s="270"/>
      <c r="D1081" s="245"/>
      <c r="E1081" s="259"/>
      <c r="F1081" s="247"/>
      <c r="G1081" s="247"/>
      <c r="H1081" s="274"/>
    </row>
    <row r="1082" spans="1:8" s="60" customFormat="1" ht="18" customHeight="1" thickTop="1" x14ac:dyDescent="0.15">
      <c r="A1082" s="138"/>
      <c r="B1082" s="139"/>
      <c r="C1082" s="52"/>
      <c r="D1082" s="51" t="s">
        <v>39</v>
      </c>
      <c r="E1082" s="50" t="s">
        <v>39</v>
      </c>
      <c r="F1082" s="49" t="s">
        <v>39</v>
      </c>
      <c r="G1082" s="49" t="s">
        <v>39</v>
      </c>
      <c r="H1082" s="48" t="s">
        <v>39</v>
      </c>
    </row>
    <row r="1083" spans="1:8" ht="21.75" customHeight="1" x14ac:dyDescent="0.15">
      <c r="A1083" s="250" t="s">
        <v>38</v>
      </c>
      <c r="B1083" s="61" t="s">
        <v>37</v>
      </c>
      <c r="C1083" s="62">
        <v>3932</v>
      </c>
      <c r="D1083" s="63">
        <f>QUOTIENT(717409464515489,1000000)</f>
        <v>717409464</v>
      </c>
      <c r="E1083" s="63">
        <f>QUOTIENT(260122640948278,1000000)</f>
        <v>260122640</v>
      </c>
      <c r="F1083" s="64">
        <f>QUOTIENT(225216185811047,1000000)</f>
        <v>225216185</v>
      </c>
      <c r="G1083" s="64">
        <f>QUOTIENT(221867216475762,1000000)</f>
        <v>221867216</v>
      </c>
      <c r="H1083" s="65">
        <f>QUOTIENT(10203421280401,1000000)</f>
        <v>10203421</v>
      </c>
    </row>
    <row r="1084" spans="1:8" ht="21.75" customHeight="1" x14ac:dyDescent="0.15">
      <c r="A1084" s="250"/>
      <c r="B1084" s="66" t="s">
        <v>36</v>
      </c>
      <c r="C1084" s="67">
        <v>18</v>
      </c>
      <c r="D1084" s="68">
        <f>QUOTIENT(93503631500,1000000)</f>
        <v>93503</v>
      </c>
      <c r="E1084" s="68">
        <f>QUOTIENT(26837955000,1000000)</f>
        <v>26837</v>
      </c>
      <c r="F1084" s="69">
        <f>QUOTIENT(65087247000,1000000)</f>
        <v>65087</v>
      </c>
      <c r="G1084" s="69">
        <f>QUOTIENT(1573552000,1000000)</f>
        <v>1573</v>
      </c>
      <c r="H1084" s="70">
        <f>QUOTIENT(4877500,1000000)</f>
        <v>4</v>
      </c>
    </row>
    <row r="1085" spans="1:8" ht="21.75" customHeight="1" x14ac:dyDescent="0.15">
      <c r="A1085" s="250"/>
      <c r="B1085" s="66" t="s">
        <v>35</v>
      </c>
      <c r="C1085" s="67">
        <v>105</v>
      </c>
      <c r="D1085" s="68">
        <f>QUOTIENT(0,1000000)</f>
        <v>0</v>
      </c>
      <c r="E1085" s="68">
        <f>QUOTIENT(0,1000000)</f>
        <v>0</v>
      </c>
      <c r="F1085" s="69">
        <f>QUOTIENT(0,1000000)</f>
        <v>0</v>
      </c>
      <c r="G1085" s="69">
        <f>QUOTIENT(0,1000000)</f>
        <v>0</v>
      </c>
      <c r="H1085" s="70">
        <f>QUOTIENT(0,1000000)</f>
        <v>0</v>
      </c>
    </row>
    <row r="1086" spans="1:8" ht="21.75" customHeight="1" x14ac:dyDescent="0.15">
      <c r="A1086" s="250"/>
      <c r="B1086" s="71" t="s">
        <v>34</v>
      </c>
      <c r="C1086" s="72">
        <v>1</v>
      </c>
      <c r="D1086" s="73">
        <f>QUOTIENT(175851522600,1000000)</f>
        <v>175851</v>
      </c>
      <c r="E1086" s="73">
        <f>QUOTIENT(130670109700,1000000)</f>
        <v>130670</v>
      </c>
      <c r="F1086" s="74">
        <f>QUOTIENT(8607319500,1000000)</f>
        <v>8607</v>
      </c>
      <c r="G1086" s="74">
        <f>QUOTIENT(32200040600,1000000)</f>
        <v>32200</v>
      </c>
      <c r="H1086" s="75">
        <f>QUOTIENT(4374052800,1000000)</f>
        <v>4374</v>
      </c>
    </row>
    <row r="1087" spans="1:8" ht="21.75" customHeight="1" x14ac:dyDescent="0.15">
      <c r="A1087" s="250"/>
      <c r="B1087" s="66" t="s">
        <v>33</v>
      </c>
      <c r="C1087" s="67">
        <v>68</v>
      </c>
      <c r="D1087" s="68">
        <f>QUOTIENT(15714854597300,1000000)</f>
        <v>15714854</v>
      </c>
      <c r="E1087" s="68">
        <f>QUOTIENT(4082305031600,1000000)</f>
        <v>4082305</v>
      </c>
      <c r="F1087" s="69">
        <f>QUOTIENT(4336186792500,1000000)</f>
        <v>4336186</v>
      </c>
      <c r="G1087" s="69">
        <f>QUOTIENT(7107560800200,1000000)</f>
        <v>7107560</v>
      </c>
      <c r="H1087" s="70">
        <f>QUOTIENT(188801973000,1000000)</f>
        <v>188801</v>
      </c>
    </row>
    <row r="1088" spans="1:8" ht="21.75" customHeight="1" x14ac:dyDescent="0.15">
      <c r="A1088" s="250"/>
      <c r="B1088" s="76" t="s">
        <v>32</v>
      </c>
      <c r="C1088" s="67">
        <v>218</v>
      </c>
      <c r="D1088" s="68">
        <f>QUOTIENT(58825445076159,1000000)</f>
        <v>58825445</v>
      </c>
      <c r="E1088" s="68">
        <f>QUOTIENT(4938785937752,1000000)</f>
        <v>4938785</v>
      </c>
      <c r="F1088" s="69">
        <f>QUOTIENT(1608301034698,1000000)</f>
        <v>1608301</v>
      </c>
      <c r="G1088" s="69">
        <f>QUOTIENT(52079739644798,1000000)</f>
        <v>52079739</v>
      </c>
      <c r="H1088" s="70">
        <f>QUOTIENT(198618458910,1000000)</f>
        <v>198618</v>
      </c>
    </row>
    <row r="1089" spans="1:8" ht="21.75" customHeight="1" x14ac:dyDescent="0.15">
      <c r="A1089" s="251"/>
      <c r="B1089" s="77" t="s">
        <v>31</v>
      </c>
      <c r="C1089" s="72">
        <v>45</v>
      </c>
      <c r="D1089" s="73">
        <f>QUOTIENT(453739561088,1000000)</f>
        <v>453739</v>
      </c>
      <c r="E1089" s="73">
        <f>QUOTIENT(333459655857,1000000)</f>
        <v>333459</v>
      </c>
      <c r="F1089" s="74">
        <f>QUOTIENT(22614986783,1000000)</f>
        <v>22614</v>
      </c>
      <c r="G1089" s="74">
        <f>QUOTIENT(82635689562,1000000)</f>
        <v>82635</v>
      </c>
      <c r="H1089" s="75">
        <f>QUOTIENT(15029228886,1000000)</f>
        <v>15029</v>
      </c>
    </row>
    <row r="1090" spans="1:8" ht="21.75" customHeight="1" x14ac:dyDescent="0.15">
      <c r="A1090" s="30" t="s">
        <v>30</v>
      </c>
      <c r="B1090" s="78" t="s">
        <v>29</v>
      </c>
      <c r="C1090" s="79">
        <v>27</v>
      </c>
      <c r="D1090" s="80">
        <f>QUOTIENT(119200534275,1000000)</f>
        <v>119200</v>
      </c>
      <c r="E1090" s="80">
        <f>QUOTIENT(104484678266,1000000)</f>
        <v>104484</v>
      </c>
      <c r="F1090" s="81">
        <f>QUOTIENT(535013592,1000000)</f>
        <v>535</v>
      </c>
      <c r="G1090" s="81">
        <f>QUOTIENT(373724300,1000000)</f>
        <v>373</v>
      </c>
      <c r="H1090" s="82">
        <f>QUOTIENT(13807118117,1000000)</f>
        <v>13807</v>
      </c>
    </row>
    <row r="1091" spans="1:8" ht="21.75" customHeight="1" x14ac:dyDescent="0.15">
      <c r="A1091" s="252" t="s">
        <v>28</v>
      </c>
      <c r="B1091" s="17" t="s">
        <v>27</v>
      </c>
      <c r="C1091" s="16">
        <v>3383</v>
      </c>
      <c r="D1091" s="83">
        <f>QUOTIENT(64834416570000,1000000)</f>
        <v>64834416</v>
      </c>
      <c r="E1091" s="83">
        <f>QUOTIENT(9886757520000,1000000)</f>
        <v>9886757</v>
      </c>
      <c r="F1091" s="84">
        <f>QUOTIENT(30212695370000,1000000)</f>
        <v>30212695</v>
      </c>
      <c r="G1091" s="84">
        <f>QUOTIENT(24625643650000,1000000)</f>
        <v>24625643</v>
      </c>
      <c r="H1091" s="85">
        <f>QUOTIENT(109320030000,1000000)</f>
        <v>109320</v>
      </c>
    </row>
    <row r="1092" spans="1:8" ht="21.75" customHeight="1" x14ac:dyDescent="0.15">
      <c r="A1092" s="250"/>
      <c r="B1092" s="23" t="s">
        <v>26</v>
      </c>
      <c r="C1092" s="22">
        <v>3579</v>
      </c>
      <c r="D1092" s="86">
        <f>QUOTIENT(15370975599000,1000000)</f>
        <v>15370975</v>
      </c>
      <c r="E1092" s="86">
        <f>QUOTIENT(489941694000,1000000)</f>
        <v>489941</v>
      </c>
      <c r="F1092" s="87">
        <f>QUOTIENT(10370265857000,1000000)</f>
        <v>10370265</v>
      </c>
      <c r="G1092" s="87">
        <f>QUOTIENT(4499921048000,1000000)</f>
        <v>4499921</v>
      </c>
      <c r="H1092" s="88">
        <f>QUOTIENT(10847000000,1000000)</f>
        <v>10847</v>
      </c>
    </row>
    <row r="1093" spans="1:8" ht="21.75" customHeight="1" x14ac:dyDescent="0.15">
      <c r="A1093" s="250"/>
      <c r="B1093" s="24" t="s">
        <v>25</v>
      </c>
      <c r="C1093" s="22">
        <v>575</v>
      </c>
      <c r="D1093" s="86">
        <f>QUOTIENT(23244680000000,1000000)</f>
        <v>23244680</v>
      </c>
      <c r="E1093" s="86">
        <f>QUOTIENT(1726069000000,1000000)</f>
        <v>1726069</v>
      </c>
      <c r="F1093" s="87">
        <f>QUOTIENT(9920748500000,1000000)</f>
        <v>9920748</v>
      </c>
      <c r="G1093" s="87">
        <f>QUOTIENT(11532604500000,1000000)</f>
        <v>11532604</v>
      </c>
      <c r="H1093" s="88">
        <f>QUOTIENT(65258000000,1000000)</f>
        <v>65258</v>
      </c>
    </row>
    <row r="1094" spans="1:8" ht="21.75" customHeight="1" x14ac:dyDescent="0.15">
      <c r="A1094" s="250"/>
      <c r="B1094" s="23" t="s">
        <v>24</v>
      </c>
      <c r="C1094" s="22">
        <v>2100</v>
      </c>
      <c r="D1094" s="86">
        <f>QUOTIENT(58406700000000,1000000)</f>
        <v>58406700</v>
      </c>
      <c r="E1094" s="86">
        <f>QUOTIENT(7247358900000,1000000)</f>
        <v>7247358</v>
      </c>
      <c r="F1094" s="87">
        <f>QUOTIENT(20128823400000,1000000)</f>
        <v>20128823</v>
      </c>
      <c r="G1094" s="87">
        <f>QUOTIENT(31026167700000,1000000)</f>
        <v>31026167</v>
      </c>
      <c r="H1094" s="88">
        <f>QUOTIENT(4350000000,1000000)</f>
        <v>4350</v>
      </c>
    </row>
    <row r="1095" spans="1:8" ht="21.75" customHeight="1" x14ac:dyDescent="0.15">
      <c r="A1095" s="250"/>
      <c r="B1095" s="23" t="s">
        <v>23</v>
      </c>
      <c r="C1095" s="22">
        <v>483</v>
      </c>
      <c r="D1095" s="86">
        <f>QUOTIENT(5054209000000,1000000)</f>
        <v>5054209</v>
      </c>
      <c r="E1095" s="86">
        <f>QUOTIENT(347393700000,1000000)</f>
        <v>347393</v>
      </c>
      <c r="F1095" s="87">
        <f>QUOTIENT(102770500000,1000000)</f>
        <v>102770</v>
      </c>
      <c r="G1095" s="87">
        <f>QUOTIENT(4604044800000,1000000)</f>
        <v>4604044</v>
      </c>
      <c r="H1095" s="88">
        <f>QUOTIENT(0,1000000)</f>
        <v>0</v>
      </c>
    </row>
    <row r="1096" spans="1:8" ht="21.75" customHeight="1" x14ac:dyDescent="0.15">
      <c r="A1096" s="250"/>
      <c r="B1096" s="23" t="s">
        <v>22</v>
      </c>
      <c r="C1096" s="22">
        <v>162</v>
      </c>
      <c r="D1096" s="86">
        <f>QUOTIENT(1309300000000,1000000)</f>
        <v>1309300</v>
      </c>
      <c r="E1096" s="86">
        <f>QUOTIENT(329120000000,1000000)</f>
        <v>329120</v>
      </c>
      <c r="F1096" s="87">
        <f>QUOTIENT(467900000000,1000000)</f>
        <v>467900</v>
      </c>
      <c r="G1096" s="87">
        <f>QUOTIENT(512280000000,1000000)</f>
        <v>512280</v>
      </c>
      <c r="H1096" s="88">
        <f>QUOTIENT(0,1000000)</f>
        <v>0</v>
      </c>
    </row>
    <row r="1097" spans="1:8" ht="21.75" customHeight="1" x14ac:dyDescent="0.15">
      <c r="A1097" s="250"/>
      <c r="B1097" s="23" t="s">
        <v>21</v>
      </c>
      <c r="C1097" s="22">
        <v>23</v>
      </c>
      <c r="D1097" s="86">
        <f>QUOTIENT(151996000000,1000000)</f>
        <v>151996</v>
      </c>
      <c r="E1097" s="86">
        <f>QUOTIENT(115197000000,1000000)</f>
        <v>115197</v>
      </c>
      <c r="F1097" s="87">
        <f>QUOTIENT(21793000000,1000000)</f>
        <v>21793</v>
      </c>
      <c r="G1097" s="87">
        <f>QUOTIENT(15006000000,1000000)</f>
        <v>15006</v>
      </c>
      <c r="H1097" s="88">
        <f>QUOTIENT(0,1000000)</f>
        <v>0</v>
      </c>
    </row>
    <row r="1098" spans="1:8" ht="21.75" customHeight="1" x14ac:dyDescent="0.15">
      <c r="A1098" s="250"/>
      <c r="B1098" s="23" t="s">
        <v>20</v>
      </c>
      <c r="C1098" s="22">
        <v>0</v>
      </c>
      <c r="D1098" s="86">
        <f>QUOTIENT(0,1000000)</f>
        <v>0</v>
      </c>
      <c r="E1098" s="86">
        <f>QUOTIENT(0,1000000)</f>
        <v>0</v>
      </c>
      <c r="F1098" s="87">
        <f>QUOTIENT(0,1000000)</f>
        <v>0</v>
      </c>
      <c r="G1098" s="87">
        <f>QUOTIENT(0,1000000)</f>
        <v>0</v>
      </c>
      <c r="H1098" s="88">
        <f>QUOTIENT(0,1000000)</f>
        <v>0</v>
      </c>
    </row>
    <row r="1099" spans="1:8" ht="21.75" customHeight="1" x14ac:dyDescent="0.15">
      <c r="A1099" s="250"/>
      <c r="B1099" s="23" t="s">
        <v>19</v>
      </c>
      <c r="C1099" s="22">
        <v>215</v>
      </c>
      <c r="D1099" s="86">
        <f>QUOTIENT(5368370000000,1000000)</f>
        <v>5368370</v>
      </c>
      <c r="E1099" s="86">
        <f>QUOTIENT(585800000000,1000000)</f>
        <v>585800</v>
      </c>
      <c r="F1099" s="87">
        <f>QUOTIENT(2633790000000,1000000)</f>
        <v>2633790</v>
      </c>
      <c r="G1099" s="87">
        <f>QUOTIENT(2081420000000,1000000)</f>
        <v>2081420</v>
      </c>
      <c r="H1099" s="88">
        <f>QUOTIENT(67360000000,1000000)</f>
        <v>67360</v>
      </c>
    </row>
    <row r="1100" spans="1:8" ht="21.75" customHeight="1" x14ac:dyDescent="0.15">
      <c r="A1100" s="250"/>
      <c r="B1100" s="23" t="s">
        <v>18</v>
      </c>
      <c r="C1100" s="22">
        <v>3996</v>
      </c>
      <c r="D1100" s="86">
        <f>QUOTIENT(82144005500000,1000000)</f>
        <v>82144005</v>
      </c>
      <c r="E1100" s="86">
        <f>QUOTIENT(19242991900000,1000000)</f>
        <v>19242991</v>
      </c>
      <c r="F1100" s="87">
        <f>QUOTIENT(32741444400000,1000000)</f>
        <v>32741444</v>
      </c>
      <c r="G1100" s="87">
        <f>QUOTIENT(29637329200000,1000000)</f>
        <v>29637329</v>
      </c>
      <c r="H1100" s="88">
        <f>QUOTIENT(522240000000,1000000)</f>
        <v>522240</v>
      </c>
    </row>
    <row r="1101" spans="1:8" ht="21.75" customHeight="1" x14ac:dyDescent="0.15">
      <c r="A1101" s="250"/>
      <c r="B1101" s="23" t="s">
        <v>17</v>
      </c>
      <c r="C1101" s="22">
        <v>711</v>
      </c>
      <c r="D1101" s="86">
        <f>QUOTIENT(16532360000000,1000000)</f>
        <v>16532360</v>
      </c>
      <c r="E1101" s="86">
        <f>QUOTIENT(3870613900000,1000000)</f>
        <v>3870613</v>
      </c>
      <c r="F1101" s="87">
        <f>QUOTIENT(7313834800000,1000000)</f>
        <v>7313834</v>
      </c>
      <c r="G1101" s="87">
        <f>QUOTIENT(5296655300000,1000000)</f>
        <v>5296655</v>
      </c>
      <c r="H1101" s="88">
        <f>QUOTIENT(51256000000,1000000)</f>
        <v>51256</v>
      </c>
    </row>
    <row r="1102" spans="1:8" ht="21.75" customHeight="1" x14ac:dyDescent="0.15">
      <c r="A1102" s="250"/>
      <c r="B1102" s="23" t="s">
        <v>16</v>
      </c>
      <c r="C1102" s="22">
        <v>63759</v>
      </c>
      <c r="D1102" s="86">
        <f>QUOTIENT(15886683982000,1000000)</f>
        <v>15886683</v>
      </c>
      <c r="E1102" s="86">
        <f>QUOTIENT(4429041126000,1000000)</f>
        <v>4429041</v>
      </c>
      <c r="F1102" s="87">
        <f>QUOTIENT(5011972708000,1000000)</f>
        <v>5011972</v>
      </c>
      <c r="G1102" s="87">
        <f>QUOTIENT(6440980148000,1000000)</f>
        <v>6440980</v>
      </c>
      <c r="H1102" s="88">
        <f>QUOTIENT(4690000000,1000000)</f>
        <v>4690</v>
      </c>
    </row>
    <row r="1103" spans="1:8" ht="21.75" customHeight="1" x14ac:dyDescent="0.15">
      <c r="A1103" s="250"/>
      <c r="B1103" s="23" t="s">
        <v>15</v>
      </c>
      <c r="C1103" s="22">
        <v>510</v>
      </c>
      <c r="D1103" s="86">
        <f>QUOTIENT(4065767449000,1000000)</f>
        <v>4065767</v>
      </c>
      <c r="E1103" s="86">
        <f>QUOTIENT(3456183526000,1000000)</f>
        <v>3456183</v>
      </c>
      <c r="F1103" s="87">
        <f>QUOTIENT(500834395000,1000000)</f>
        <v>500834</v>
      </c>
      <c r="G1103" s="87">
        <f>QUOTIENT(108504528000,1000000)</f>
        <v>108504</v>
      </c>
      <c r="H1103" s="88">
        <f>QUOTIENT(245000000,1000000)</f>
        <v>245</v>
      </c>
    </row>
    <row r="1104" spans="1:8" ht="21.75" customHeight="1" x14ac:dyDescent="0.15">
      <c r="A1104" s="250"/>
      <c r="B1104" s="23" t="s">
        <v>14</v>
      </c>
      <c r="C1104" s="22">
        <v>35</v>
      </c>
      <c r="D1104" s="86">
        <f>QUOTIENT(105700000000,1000000)</f>
        <v>105700</v>
      </c>
      <c r="E1104" s="86">
        <f>QUOTIENT(21300000000,1000000)</f>
        <v>21300</v>
      </c>
      <c r="F1104" s="87">
        <f>QUOTIENT(59300000000,1000000)</f>
        <v>59300</v>
      </c>
      <c r="G1104" s="87">
        <f>QUOTIENT(25100000000,1000000)</f>
        <v>25100</v>
      </c>
      <c r="H1104" s="88">
        <f>QUOTIENT(0,1000000)</f>
        <v>0</v>
      </c>
    </row>
    <row r="1105" spans="1:8" ht="21.75" customHeight="1" x14ac:dyDescent="0.15">
      <c r="A1105" s="250"/>
      <c r="B1105" s="23" t="s">
        <v>13</v>
      </c>
      <c r="C1105" s="22">
        <v>705</v>
      </c>
      <c r="D1105" s="86">
        <f>QUOTIENT(2960285630000,1000000)</f>
        <v>2960285</v>
      </c>
      <c r="E1105" s="86">
        <f>QUOTIENT(202775480000,1000000)</f>
        <v>202775</v>
      </c>
      <c r="F1105" s="87">
        <f>QUOTIENT(1511889360000,1000000)</f>
        <v>1511889</v>
      </c>
      <c r="G1105" s="87">
        <f>QUOTIENT(1245620790000,1000000)</f>
        <v>1245620</v>
      </c>
      <c r="H1105" s="88">
        <f>QUOTIENT(0,1000000)</f>
        <v>0</v>
      </c>
    </row>
    <row r="1106" spans="1:8" ht="21.75" customHeight="1" x14ac:dyDescent="0.15">
      <c r="A1106" s="250"/>
      <c r="B1106" s="23" t="s">
        <v>12</v>
      </c>
      <c r="C1106" s="22">
        <v>268</v>
      </c>
      <c r="D1106" s="86">
        <f>QUOTIENT(6969800000000,1000000)</f>
        <v>6969800</v>
      </c>
      <c r="E1106" s="86">
        <f>QUOTIENT(947374000000,1000000)</f>
        <v>947374</v>
      </c>
      <c r="F1106" s="87">
        <f>QUOTIENT(2210854000000,1000000)</f>
        <v>2210854</v>
      </c>
      <c r="G1106" s="87">
        <f>QUOTIENT(3782872000000,1000000)</f>
        <v>3782872</v>
      </c>
      <c r="H1106" s="88">
        <f>QUOTIENT(28700000000,1000000)</f>
        <v>28700</v>
      </c>
    </row>
    <row r="1107" spans="1:8" ht="21.75" customHeight="1" x14ac:dyDescent="0.15">
      <c r="A1107" s="250"/>
      <c r="B1107" s="23" t="s">
        <v>11</v>
      </c>
      <c r="C1107" s="22">
        <v>65</v>
      </c>
      <c r="D1107" s="86">
        <f>QUOTIENT(1358350000000,1000000)</f>
        <v>1358350</v>
      </c>
      <c r="E1107" s="86">
        <f>QUOTIENT(122100000000,1000000)</f>
        <v>122100</v>
      </c>
      <c r="F1107" s="87">
        <f>QUOTIENT(599550000000,1000000)</f>
        <v>599550</v>
      </c>
      <c r="G1107" s="87">
        <f>QUOTIENT(636700000000,1000000)</f>
        <v>636700</v>
      </c>
      <c r="H1107" s="88">
        <f>QUOTIENT(0,1000000)</f>
        <v>0</v>
      </c>
    </row>
    <row r="1108" spans="1:8" ht="21.75" customHeight="1" x14ac:dyDescent="0.15">
      <c r="A1108" s="250"/>
      <c r="B1108" s="23" t="s">
        <v>10</v>
      </c>
      <c r="C1108" s="22">
        <v>0</v>
      </c>
      <c r="D1108" s="86">
        <f t="shared" ref="D1108:G1110" si="29">QUOTIENT(0,1000000)</f>
        <v>0</v>
      </c>
      <c r="E1108" s="86">
        <f t="shared" si="29"/>
        <v>0</v>
      </c>
      <c r="F1108" s="87">
        <f t="shared" si="29"/>
        <v>0</v>
      </c>
      <c r="G1108" s="87">
        <f t="shared" si="29"/>
        <v>0</v>
      </c>
      <c r="H1108" s="88">
        <f>QUOTIENT(0,1000000)</f>
        <v>0</v>
      </c>
    </row>
    <row r="1109" spans="1:8" ht="21.75" customHeight="1" x14ac:dyDescent="0.15">
      <c r="A1109" s="250"/>
      <c r="B1109" s="23" t="s">
        <v>9</v>
      </c>
      <c r="C1109" s="22">
        <v>0</v>
      </c>
      <c r="D1109" s="86">
        <f t="shared" si="29"/>
        <v>0</v>
      </c>
      <c r="E1109" s="86">
        <f t="shared" si="29"/>
        <v>0</v>
      </c>
      <c r="F1109" s="87">
        <f t="shared" si="29"/>
        <v>0</v>
      </c>
      <c r="G1109" s="87">
        <f t="shared" si="29"/>
        <v>0</v>
      </c>
      <c r="H1109" s="88">
        <f>QUOTIENT(0,1000000)</f>
        <v>0</v>
      </c>
    </row>
    <row r="1110" spans="1:8" ht="21.75" customHeight="1" x14ac:dyDescent="0.15">
      <c r="A1110" s="250"/>
      <c r="B1110" s="23" t="s">
        <v>8</v>
      </c>
      <c r="C1110" s="22">
        <v>0</v>
      </c>
      <c r="D1110" s="86">
        <f t="shared" si="29"/>
        <v>0</v>
      </c>
      <c r="E1110" s="86">
        <f t="shared" si="29"/>
        <v>0</v>
      </c>
      <c r="F1110" s="87">
        <f t="shared" si="29"/>
        <v>0</v>
      </c>
      <c r="G1110" s="87">
        <f t="shared" si="29"/>
        <v>0</v>
      </c>
      <c r="H1110" s="88">
        <f>QUOTIENT(0,1000000)</f>
        <v>0</v>
      </c>
    </row>
    <row r="1111" spans="1:8" ht="21.75" customHeight="1" x14ac:dyDescent="0.15">
      <c r="A1111" s="251"/>
      <c r="B1111" s="23" t="s">
        <v>7</v>
      </c>
      <c r="C1111" s="22">
        <v>47</v>
      </c>
      <c r="D1111" s="86">
        <f>QUOTIENT(18290000000,1000000)</f>
        <v>18290</v>
      </c>
      <c r="E1111" s="86">
        <f>QUOTIENT(0,1000000)</f>
        <v>0</v>
      </c>
      <c r="F1111" s="87">
        <f>QUOTIENT(14000000000,1000000)</f>
        <v>14000</v>
      </c>
      <c r="G1111" s="87">
        <f>QUOTIENT(4290000000,1000000)</f>
        <v>4290</v>
      </c>
      <c r="H1111" s="88">
        <f>QUOTIENT(0,1000000)</f>
        <v>0</v>
      </c>
    </row>
    <row r="1112" spans="1:8" ht="21.75" customHeight="1" x14ac:dyDescent="0.15">
      <c r="A1112" s="18" t="s">
        <v>6</v>
      </c>
      <c r="B1112" s="17" t="s">
        <v>5</v>
      </c>
      <c r="C1112" s="16">
        <v>3275</v>
      </c>
      <c r="D1112" s="80">
        <v>26292584</v>
      </c>
      <c r="E1112" s="80">
        <v>815400</v>
      </c>
      <c r="F1112" s="81">
        <v>15851639</v>
      </c>
      <c r="G1112" s="81">
        <v>8074545</v>
      </c>
      <c r="H1112" s="82">
        <v>1551000</v>
      </c>
    </row>
    <row r="1113" spans="1:8" ht="21.75" customHeight="1" x14ac:dyDescent="0.15">
      <c r="A1113" s="252" t="s">
        <v>4</v>
      </c>
      <c r="B1113" s="12" t="s">
        <v>3</v>
      </c>
      <c r="C1113" s="11">
        <v>5713</v>
      </c>
      <c r="D1113" s="89">
        <f>QUOTIENT(95939729779282,1000000)</f>
        <v>95939729</v>
      </c>
      <c r="E1113" s="89">
        <f>QUOTIENT(60172607692450,1000000)</f>
        <v>60172607</v>
      </c>
      <c r="F1113" s="90">
        <f>QUOTIENT(16405241453495,1000000)</f>
        <v>16405241</v>
      </c>
      <c r="G1113" s="90">
        <f>QUOTIENT(12130476702239,1000000)</f>
        <v>12130476</v>
      </c>
      <c r="H1113" s="91">
        <f>QUOTIENT(7231403931098,1000000)</f>
        <v>7231403</v>
      </c>
    </row>
    <row r="1114" spans="1:8" ht="21.75" customHeight="1" thickBot="1" x14ac:dyDescent="0.2">
      <c r="A1114" s="253"/>
      <c r="B1114" s="7" t="s">
        <v>1153</v>
      </c>
      <c r="C1114" s="6">
        <v>8287</v>
      </c>
      <c r="D1114" s="92" t="s">
        <v>2178</v>
      </c>
      <c r="E1114" s="92" t="s">
        <v>2178</v>
      </c>
      <c r="F1114" s="92" t="s">
        <v>2178</v>
      </c>
      <c r="G1114" s="92" t="s">
        <v>2178</v>
      </c>
      <c r="H1114" s="93" t="s">
        <v>2178</v>
      </c>
    </row>
    <row r="1115" spans="1:8" ht="18" customHeight="1" x14ac:dyDescent="0.15">
      <c r="A1115" s="3" t="s">
        <v>1155</v>
      </c>
      <c r="B1115" s="2"/>
      <c r="C1115" s="2"/>
      <c r="D1115" s="2"/>
      <c r="E1115" s="2"/>
      <c r="F1115" s="2"/>
      <c r="G1115" s="2"/>
      <c r="H1115" s="2"/>
    </row>
    <row r="1116" spans="1:8" ht="18" customHeight="1" x14ac:dyDescent="0.15">
      <c r="A1116" s="3" t="s">
        <v>2587</v>
      </c>
      <c r="B1116" s="2"/>
      <c r="C1116" s="2"/>
      <c r="D1116" s="2"/>
      <c r="E1116" s="2"/>
      <c r="F1116" s="2"/>
      <c r="G1116" s="2"/>
      <c r="H1116" s="2"/>
    </row>
    <row r="1117" spans="1:8" ht="18" customHeight="1" x14ac:dyDescent="0.15">
      <c r="A1117" s="3" t="s">
        <v>1156</v>
      </c>
      <c r="B1117" s="2"/>
      <c r="C1117" s="2"/>
      <c r="D1117" s="2"/>
      <c r="E1117" s="2"/>
      <c r="F1117" s="2"/>
      <c r="G1117" s="2"/>
      <c r="H1117" s="2"/>
    </row>
    <row r="1118" spans="1:8" ht="18" customHeight="1" x14ac:dyDescent="0.15">
      <c r="A1118" s="3" t="s">
        <v>2501</v>
      </c>
      <c r="B1118" s="2"/>
      <c r="C1118" s="2"/>
      <c r="D1118" s="2"/>
      <c r="E1118" s="2"/>
      <c r="F1118" s="2"/>
      <c r="G1118" s="2"/>
      <c r="H1118" s="2"/>
    </row>
    <row r="1119" spans="1:8" ht="24" x14ac:dyDescent="0.15">
      <c r="A1119" s="230" t="s">
        <v>2498</v>
      </c>
      <c r="B1119" s="230"/>
      <c r="C1119" s="230"/>
      <c r="D1119" s="230"/>
      <c r="E1119" s="230"/>
      <c r="F1119" s="230"/>
      <c r="G1119" s="230"/>
      <c r="H1119" s="230"/>
    </row>
    <row r="1120" spans="1:8" ht="18" customHeight="1" x14ac:dyDescent="0.15">
      <c r="A1120" s="231"/>
      <c r="B1120" s="231"/>
      <c r="C1120" s="231"/>
      <c r="D1120" s="231"/>
      <c r="E1120" s="231"/>
      <c r="F1120" s="231"/>
      <c r="G1120" s="231"/>
      <c r="H1120" s="231"/>
    </row>
    <row r="1121" spans="1:8" thickBot="1" x14ac:dyDescent="0.2">
      <c r="A1121" s="58" t="s">
        <v>48</v>
      </c>
    </row>
    <row r="1122" spans="1:8" ht="18" customHeight="1" x14ac:dyDescent="0.15">
      <c r="A1122" s="232" t="s">
        <v>47</v>
      </c>
      <c r="B1122" s="235" t="s">
        <v>46</v>
      </c>
      <c r="C1122" s="238" t="s">
        <v>45</v>
      </c>
      <c r="D1122" s="241" t="s">
        <v>44</v>
      </c>
      <c r="E1122" s="134"/>
      <c r="F1122" s="56"/>
      <c r="G1122" s="56"/>
      <c r="H1122" s="55"/>
    </row>
    <row r="1123" spans="1:8" ht="18" customHeight="1" x14ac:dyDescent="0.15">
      <c r="A1123" s="233"/>
      <c r="B1123" s="236"/>
      <c r="C1123" s="239"/>
      <c r="D1123" s="242"/>
      <c r="E1123" s="244" t="s">
        <v>43</v>
      </c>
      <c r="F1123" s="246" t="s">
        <v>42</v>
      </c>
      <c r="G1123" s="246" t="s">
        <v>41</v>
      </c>
      <c r="H1123" s="248" t="s">
        <v>40</v>
      </c>
    </row>
    <row r="1124" spans="1:8" ht="18" customHeight="1" thickBot="1" x14ac:dyDescent="0.2">
      <c r="A1124" s="234"/>
      <c r="B1124" s="237"/>
      <c r="C1124" s="240"/>
      <c r="D1124" s="243"/>
      <c r="E1124" s="245"/>
      <c r="F1124" s="247"/>
      <c r="G1124" s="247"/>
      <c r="H1124" s="249"/>
    </row>
    <row r="1125" spans="1:8" s="60" customFormat="1" ht="18" customHeight="1" thickTop="1" x14ac:dyDescent="0.15">
      <c r="A1125" s="135"/>
      <c r="B1125" s="136"/>
      <c r="C1125" s="52"/>
      <c r="D1125" s="51" t="s">
        <v>39</v>
      </c>
      <c r="E1125" s="50" t="s">
        <v>39</v>
      </c>
      <c r="F1125" s="49" t="s">
        <v>39</v>
      </c>
      <c r="G1125" s="49" t="s">
        <v>39</v>
      </c>
      <c r="H1125" s="48" t="s">
        <v>39</v>
      </c>
    </row>
    <row r="1126" spans="1:8" ht="21.75" customHeight="1" x14ac:dyDescent="0.15">
      <c r="A1126" s="250" t="s">
        <v>38</v>
      </c>
      <c r="B1126" s="61" t="s">
        <v>37</v>
      </c>
      <c r="C1126" s="62">
        <v>3927</v>
      </c>
      <c r="D1126" s="63">
        <f>QUOTIENT(721204327196047,1000000)</f>
        <v>721204327</v>
      </c>
      <c r="E1126" s="63">
        <f>QUOTIENT(259811642333963,1000000)</f>
        <v>259811642</v>
      </c>
      <c r="F1126" s="64">
        <f>QUOTIENT(228812835402183,1000000)</f>
        <v>228812835</v>
      </c>
      <c r="G1126" s="64">
        <f>QUOTIENT(222786311340264,1000000)</f>
        <v>222786311</v>
      </c>
      <c r="H1126" s="65">
        <f>QUOTIENT(9793538119636,1000000)</f>
        <v>9793538</v>
      </c>
    </row>
    <row r="1127" spans="1:8" ht="21.75" customHeight="1" x14ac:dyDescent="0.15">
      <c r="A1127" s="250"/>
      <c r="B1127" s="66" t="s">
        <v>36</v>
      </c>
      <c r="C1127" s="67">
        <v>18</v>
      </c>
      <c r="D1127" s="68">
        <f>QUOTIENT(98992016000,1000000)</f>
        <v>98992</v>
      </c>
      <c r="E1127" s="68">
        <f>QUOTIENT(27152885000,1000000)</f>
        <v>27152</v>
      </c>
      <c r="F1127" s="69">
        <f>QUOTIENT(69898110000,1000000)</f>
        <v>69898</v>
      </c>
      <c r="G1127" s="69">
        <f>QUOTIENT(1936147500,1000000)</f>
        <v>1936</v>
      </c>
      <c r="H1127" s="70">
        <f>QUOTIENT(4873500,1000000)</f>
        <v>4</v>
      </c>
    </row>
    <row r="1128" spans="1:8" ht="21.75" customHeight="1" x14ac:dyDescent="0.15">
      <c r="A1128" s="250"/>
      <c r="B1128" s="66" t="s">
        <v>35</v>
      </c>
      <c r="C1128" s="67">
        <v>105</v>
      </c>
      <c r="D1128" s="68">
        <f>QUOTIENT(0,1000000)</f>
        <v>0</v>
      </c>
      <c r="E1128" s="68">
        <f>QUOTIENT(0,1000000)</f>
        <v>0</v>
      </c>
      <c r="F1128" s="69">
        <f>QUOTIENT(0,1000000)</f>
        <v>0</v>
      </c>
      <c r="G1128" s="69">
        <f>QUOTIENT(0,1000000)</f>
        <v>0</v>
      </c>
      <c r="H1128" s="70">
        <f>QUOTIENT(0,1000000)</f>
        <v>0</v>
      </c>
    </row>
    <row r="1129" spans="1:8" ht="21.75" customHeight="1" x14ac:dyDescent="0.15">
      <c r="A1129" s="250"/>
      <c r="B1129" s="71" t="s">
        <v>34</v>
      </c>
      <c r="C1129" s="72">
        <v>1</v>
      </c>
      <c r="D1129" s="73">
        <f>QUOTIENT(172168768200,1000000)</f>
        <v>172168</v>
      </c>
      <c r="E1129" s="73">
        <f>QUOTIENT(127777006500,1000000)</f>
        <v>127777</v>
      </c>
      <c r="F1129" s="74">
        <f>QUOTIENT(8435813100,1000000)</f>
        <v>8435</v>
      </c>
      <c r="G1129" s="74">
        <f>QUOTIENT(31647244200,1000000)</f>
        <v>31647</v>
      </c>
      <c r="H1129" s="75">
        <f>QUOTIENT(4308704400,1000000)</f>
        <v>4308</v>
      </c>
    </row>
    <row r="1130" spans="1:8" ht="21.75" customHeight="1" x14ac:dyDescent="0.15">
      <c r="A1130" s="250"/>
      <c r="B1130" s="66" t="s">
        <v>33</v>
      </c>
      <c r="C1130" s="67">
        <v>68</v>
      </c>
      <c r="D1130" s="68">
        <f>QUOTIENT(16233005395400,1000000)</f>
        <v>16233005</v>
      </c>
      <c r="E1130" s="68">
        <f>QUOTIENT(4129478440350,1000000)</f>
        <v>4129478</v>
      </c>
      <c r="F1130" s="69">
        <f>QUOTIENT(4587963286250,1000000)</f>
        <v>4587963</v>
      </c>
      <c r="G1130" s="69">
        <f>QUOTIENT(7339720252250,1000000)</f>
        <v>7339720</v>
      </c>
      <c r="H1130" s="70">
        <f>QUOTIENT(175843416550,1000000)</f>
        <v>175843</v>
      </c>
    </row>
    <row r="1131" spans="1:8" ht="21.75" customHeight="1" x14ac:dyDescent="0.15">
      <c r="A1131" s="250"/>
      <c r="B1131" s="76" t="s">
        <v>32</v>
      </c>
      <c r="C1131" s="67">
        <v>216</v>
      </c>
      <c r="D1131" s="68">
        <f>QUOTIENT(59351256443757,1000000)</f>
        <v>59351256</v>
      </c>
      <c r="E1131" s="68">
        <f>QUOTIENT(5149831076149,1000000)</f>
        <v>5149831</v>
      </c>
      <c r="F1131" s="69">
        <f>QUOTIENT(1619050312159,1000000)</f>
        <v>1619050</v>
      </c>
      <c r="G1131" s="69">
        <f>QUOTIENT(52372800148365,1000000)</f>
        <v>52372800</v>
      </c>
      <c r="H1131" s="70">
        <f>QUOTIENT(209574907083,1000000)</f>
        <v>209574</v>
      </c>
    </row>
    <row r="1132" spans="1:8" ht="21.75" customHeight="1" x14ac:dyDescent="0.15">
      <c r="A1132" s="251"/>
      <c r="B1132" s="77" t="s">
        <v>31</v>
      </c>
      <c r="C1132" s="72">
        <v>45</v>
      </c>
      <c r="D1132" s="73">
        <f>QUOTIENT(440505378718,1000000)</f>
        <v>440505</v>
      </c>
      <c r="E1132" s="73">
        <f>QUOTIENT(329699968328,1000000)</f>
        <v>329699</v>
      </c>
      <c r="F1132" s="74">
        <f>QUOTIENT(18527874150,1000000)</f>
        <v>18527</v>
      </c>
      <c r="G1132" s="74">
        <f>QUOTIENT(76843093316,1000000)</f>
        <v>76843</v>
      </c>
      <c r="H1132" s="75">
        <f>QUOTIENT(15434442924,1000000)</f>
        <v>15434</v>
      </c>
    </row>
    <row r="1133" spans="1:8" ht="21.75" customHeight="1" x14ac:dyDescent="0.15">
      <c r="A1133" s="30" t="s">
        <v>30</v>
      </c>
      <c r="B1133" s="78" t="s">
        <v>29</v>
      </c>
      <c r="C1133" s="79">
        <v>27</v>
      </c>
      <c r="D1133" s="80">
        <f>QUOTIENT(116322274983,1000000)</f>
        <v>116322</v>
      </c>
      <c r="E1133" s="80">
        <f>QUOTIENT(101465362245,1000000)</f>
        <v>101465</v>
      </c>
      <c r="F1133" s="81">
        <f>QUOTIENT(479581421,1000000)</f>
        <v>479</v>
      </c>
      <c r="G1133" s="81">
        <f>QUOTIENT(350201920,1000000)</f>
        <v>350</v>
      </c>
      <c r="H1133" s="82">
        <f>QUOTIENT(14027129397,1000000)</f>
        <v>14027</v>
      </c>
    </row>
    <row r="1134" spans="1:8" ht="21.75" customHeight="1" x14ac:dyDescent="0.15">
      <c r="A1134" s="252" t="s">
        <v>28</v>
      </c>
      <c r="B1134" s="17" t="s">
        <v>27</v>
      </c>
      <c r="C1134" s="16">
        <v>3380</v>
      </c>
      <c r="D1134" s="83">
        <f>QUOTIENT(64816951570000,1000000)</f>
        <v>64816951</v>
      </c>
      <c r="E1134" s="83">
        <f>QUOTIENT(9894862300000,1000000)</f>
        <v>9894862</v>
      </c>
      <c r="F1134" s="84">
        <f>QUOTIENT(30036682130000,1000000)</f>
        <v>30036682</v>
      </c>
      <c r="G1134" s="84">
        <f>QUOTIENT(24776967110000,1000000)</f>
        <v>24776967</v>
      </c>
      <c r="H1134" s="85">
        <f>QUOTIENT(108440030000,1000000)</f>
        <v>108440</v>
      </c>
    </row>
    <row r="1135" spans="1:8" ht="21.75" customHeight="1" x14ac:dyDescent="0.15">
      <c r="A1135" s="250"/>
      <c r="B1135" s="23" t="s">
        <v>26</v>
      </c>
      <c r="C1135" s="22">
        <v>3567</v>
      </c>
      <c r="D1135" s="86">
        <f>QUOTIENT(15357911599000,1000000)</f>
        <v>15357911</v>
      </c>
      <c r="E1135" s="86">
        <f>QUOTIENT(495770894000,1000000)</f>
        <v>495770</v>
      </c>
      <c r="F1135" s="87">
        <f>QUOTIENT(10362377857000,1000000)</f>
        <v>10362377</v>
      </c>
      <c r="G1135" s="87">
        <f>QUOTIENT(4488915848000,1000000)</f>
        <v>4488915</v>
      </c>
      <c r="H1135" s="88">
        <f>QUOTIENT(10847000000,1000000)</f>
        <v>10847</v>
      </c>
    </row>
    <row r="1136" spans="1:8" ht="21.75" customHeight="1" x14ac:dyDescent="0.15">
      <c r="A1136" s="250"/>
      <c r="B1136" s="24" t="s">
        <v>25</v>
      </c>
      <c r="C1136" s="22">
        <v>579</v>
      </c>
      <c r="D1136" s="86">
        <f>QUOTIENT(23549680000000,1000000)</f>
        <v>23549680</v>
      </c>
      <c r="E1136" s="86">
        <f>QUOTIENT(1711077600000,1000000)</f>
        <v>1711077</v>
      </c>
      <c r="F1136" s="87">
        <f>QUOTIENT(10120051200000,1000000)</f>
        <v>10120051</v>
      </c>
      <c r="G1136" s="87">
        <f>QUOTIENT(11652737200000,1000000)</f>
        <v>11652737</v>
      </c>
      <c r="H1136" s="88">
        <f>QUOTIENT(65814000000,1000000)</f>
        <v>65814</v>
      </c>
    </row>
    <row r="1137" spans="1:8" ht="21.75" customHeight="1" x14ac:dyDescent="0.15">
      <c r="A1137" s="250"/>
      <c r="B1137" s="23" t="s">
        <v>24</v>
      </c>
      <c r="C1137" s="22">
        <v>2095</v>
      </c>
      <c r="D1137" s="86">
        <f>QUOTIENT(58257000000000,1000000)</f>
        <v>58257000</v>
      </c>
      <c r="E1137" s="86">
        <f>QUOTIENT(7207988900000,1000000)</f>
        <v>7207988</v>
      </c>
      <c r="F1137" s="87">
        <f>QUOTIENT(19946993400000,1000000)</f>
        <v>19946993</v>
      </c>
      <c r="G1137" s="87">
        <f>QUOTIENT(31097667700000,1000000)</f>
        <v>31097667</v>
      </c>
      <c r="H1137" s="88">
        <f>QUOTIENT(4350000000,1000000)</f>
        <v>4350</v>
      </c>
    </row>
    <row r="1138" spans="1:8" ht="21.75" customHeight="1" x14ac:dyDescent="0.15">
      <c r="A1138" s="250"/>
      <c r="B1138" s="23" t="s">
        <v>23</v>
      </c>
      <c r="C1138" s="22">
        <v>481</v>
      </c>
      <c r="D1138" s="86">
        <f>QUOTIENT(5034209000000,1000000)</f>
        <v>5034209</v>
      </c>
      <c r="E1138" s="86">
        <f>QUOTIENT(347891100000,1000000)</f>
        <v>347891</v>
      </c>
      <c r="F1138" s="87">
        <f>QUOTIENT(102770500000,1000000)</f>
        <v>102770</v>
      </c>
      <c r="G1138" s="87">
        <f>QUOTIENT(4583547400000,1000000)</f>
        <v>4583547</v>
      </c>
      <c r="H1138" s="88">
        <f>QUOTIENT(0,1000000)</f>
        <v>0</v>
      </c>
    </row>
    <row r="1139" spans="1:8" ht="21.75" customHeight="1" x14ac:dyDescent="0.15">
      <c r="A1139" s="250"/>
      <c r="B1139" s="23" t="s">
        <v>22</v>
      </c>
      <c r="C1139" s="22">
        <v>158</v>
      </c>
      <c r="D1139" s="86">
        <f>QUOTIENT(1284300000000,1000000)</f>
        <v>1284300</v>
      </c>
      <c r="E1139" s="86">
        <f>QUOTIENT(318870000000,1000000)</f>
        <v>318870</v>
      </c>
      <c r="F1139" s="87">
        <f>QUOTIENT(452800000000,1000000)</f>
        <v>452800</v>
      </c>
      <c r="G1139" s="87">
        <f>QUOTIENT(512630000000,1000000)</f>
        <v>512630</v>
      </c>
      <c r="H1139" s="88">
        <f>QUOTIENT(0,1000000)</f>
        <v>0</v>
      </c>
    </row>
    <row r="1140" spans="1:8" ht="21.75" customHeight="1" x14ac:dyDescent="0.15">
      <c r="A1140" s="250"/>
      <c r="B1140" s="23" t="s">
        <v>21</v>
      </c>
      <c r="C1140" s="22">
        <v>23</v>
      </c>
      <c r="D1140" s="86">
        <f>QUOTIENT(151996000000,1000000)</f>
        <v>151996</v>
      </c>
      <c r="E1140" s="86">
        <f>QUOTIENT(115197000000,1000000)</f>
        <v>115197</v>
      </c>
      <c r="F1140" s="87">
        <f>QUOTIENT(21793000000,1000000)</f>
        <v>21793</v>
      </c>
      <c r="G1140" s="87">
        <f>QUOTIENT(15006000000,1000000)</f>
        <v>15006</v>
      </c>
      <c r="H1140" s="88">
        <f>QUOTIENT(0,1000000)</f>
        <v>0</v>
      </c>
    </row>
    <row r="1141" spans="1:8" ht="21.75" customHeight="1" x14ac:dyDescent="0.15">
      <c r="A1141" s="250"/>
      <c r="B1141" s="23" t="s">
        <v>20</v>
      </c>
      <c r="C1141" s="22">
        <v>0</v>
      </c>
      <c r="D1141" s="86">
        <f>QUOTIENT(0,1000000)</f>
        <v>0</v>
      </c>
      <c r="E1141" s="86">
        <f>QUOTIENT(0,1000000)</f>
        <v>0</v>
      </c>
      <c r="F1141" s="87">
        <f>QUOTIENT(0,1000000)</f>
        <v>0</v>
      </c>
      <c r="G1141" s="87">
        <f>QUOTIENT(0,1000000)</f>
        <v>0</v>
      </c>
      <c r="H1141" s="88">
        <f>QUOTIENT(0,1000000)</f>
        <v>0</v>
      </c>
    </row>
    <row r="1142" spans="1:8" ht="21.75" customHeight="1" x14ac:dyDescent="0.15">
      <c r="A1142" s="250"/>
      <c r="B1142" s="23" t="s">
        <v>19</v>
      </c>
      <c r="C1142" s="22">
        <v>216</v>
      </c>
      <c r="D1142" s="86">
        <f>QUOTIENT(5431550000000,1000000)</f>
        <v>5431550</v>
      </c>
      <c r="E1142" s="86">
        <f>QUOTIENT(594980000000,1000000)</f>
        <v>594980</v>
      </c>
      <c r="F1142" s="87">
        <f>QUOTIENT(2655290000000,1000000)</f>
        <v>2655290</v>
      </c>
      <c r="G1142" s="87">
        <f>QUOTIENT(2113920000000,1000000)</f>
        <v>2113920</v>
      </c>
      <c r="H1142" s="88">
        <f>QUOTIENT(67360000000,1000000)</f>
        <v>67360</v>
      </c>
    </row>
    <row r="1143" spans="1:8" ht="21.75" customHeight="1" x14ac:dyDescent="0.15">
      <c r="A1143" s="250"/>
      <c r="B1143" s="23" t="s">
        <v>18</v>
      </c>
      <c r="C1143" s="22">
        <v>3984</v>
      </c>
      <c r="D1143" s="86">
        <f>QUOTIENT(81960564000000,1000000)</f>
        <v>81960564</v>
      </c>
      <c r="E1143" s="86">
        <f>QUOTIENT(19087222500000,1000000)</f>
        <v>19087222</v>
      </c>
      <c r="F1143" s="87">
        <f>QUOTIENT(31905632900000,1000000)</f>
        <v>31905632</v>
      </c>
      <c r="G1143" s="87">
        <f>QUOTIENT(30424475600000,1000000)</f>
        <v>30424475</v>
      </c>
      <c r="H1143" s="88">
        <f>QUOTIENT(543233000000,1000000)</f>
        <v>543233</v>
      </c>
    </row>
    <row r="1144" spans="1:8" ht="21.75" customHeight="1" x14ac:dyDescent="0.15">
      <c r="A1144" s="250"/>
      <c r="B1144" s="23" t="s">
        <v>17</v>
      </c>
      <c r="C1144" s="22">
        <v>697</v>
      </c>
      <c r="D1144" s="86">
        <f>QUOTIENT(16288360000000,1000000)</f>
        <v>16288360</v>
      </c>
      <c r="E1144" s="86">
        <f>QUOTIENT(3824195700000,1000000)</f>
        <v>3824195</v>
      </c>
      <c r="F1144" s="87">
        <f>QUOTIENT(6661455600000,1000000)</f>
        <v>6661455</v>
      </c>
      <c r="G1144" s="87">
        <f>QUOTIENT(5751152700000,1000000)</f>
        <v>5751152</v>
      </c>
      <c r="H1144" s="88">
        <f>QUOTIENT(51556000000,1000000)</f>
        <v>51556</v>
      </c>
    </row>
    <row r="1145" spans="1:8" ht="21.75" customHeight="1" x14ac:dyDescent="0.15">
      <c r="A1145" s="250"/>
      <c r="B1145" s="23" t="s">
        <v>16</v>
      </c>
      <c r="C1145" s="22">
        <v>63618</v>
      </c>
      <c r="D1145" s="86">
        <f>QUOTIENT(15947198282000,1000000)</f>
        <v>15947198</v>
      </c>
      <c r="E1145" s="86">
        <f>QUOTIENT(4486471126000,1000000)</f>
        <v>4486471</v>
      </c>
      <c r="F1145" s="87">
        <f>QUOTIENT(5028115708000,1000000)</f>
        <v>5028115</v>
      </c>
      <c r="G1145" s="87">
        <f>QUOTIENT(6427921448000,1000000)</f>
        <v>6427921</v>
      </c>
      <c r="H1145" s="88">
        <f>QUOTIENT(4690000000,1000000)</f>
        <v>4690</v>
      </c>
    </row>
    <row r="1146" spans="1:8" ht="21.75" customHeight="1" x14ac:dyDescent="0.15">
      <c r="A1146" s="250"/>
      <c r="B1146" s="23" t="s">
        <v>15</v>
      </c>
      <c r="C1146" s="22">
        <v>513</v>
      </c>
      <c r="D1146" s="86">
        <f>QUOTIENT(4071697449000,1000000)</f>
        <v>4071697</v>
      </c>
      <c r="E1146" s="86">
        <f>QUOTIENT(3461913526000,1000000)</f>
        <v>3461913</v>
      </c>
      <c r="F1146" s="87">
        <f>QUOTIENT(500934395000,1000000)</f>
        <v>500934</v>
      </c>
      <c r="G1146" s="87">
        <f>QUOTIENT(108604528000,1000000)</f>
        <v>108604</v>
      </c>
      <c r="H1146" s="88">
        <f>QUOTIENT(245000000,1000000)</f>
        <v>245</v>
      </c>
    </row>
    <row r="1147" spans="1:8" ht="21.75" customHeight="1" x14ac:dyDescent="0.15">
      <c r="A1147" s="250"/>
      <c r="B1147" s="23" t="s">
        <v>14</v>
      </c>
      <c r="C1147" s="22">
        <v>37</v>
      </c>
      <c r="D1147" s="86">
        <f>QUOTIENT(112700000000,1000000)</f>
        <v>112700</v>
      </c>
      <c r="E1147" s="86">
        <f>QUOTIENT(22700000000,1000000)</f>
        <v>22700</v>
      </c>
      <c r="F1147" s="87">
        <f>QUOTIENT(59900000000,1000000)</f>
        <v>59900</v>
      </c>
      <c r="G1147" s="87">
        <f>QUOTIENT(30100000000,1000000)</f>
        <v>30100</v>
      </c>
      <c r="H1147" s="88">
        <f>QUOTIENT(0,1000000)</f>
        <v>0</v>
      </c>
    </row>
    <row r="1148" spans="1:8" ht="21.75" customHeight="1" x14ac:dyDescent="0.15">
      <c r="A1148" s="250"/>
      <c r="B1148" s="23" t="s">
        <v>13</v>
      </c>
      <c r="C1148" s="22">
        <v>691</v>
      </c>
      <c r="D1148" s="86">
        <f>QUOTIENT(2896573630000,1000000)</f>
        <v>2896573</v>
      </c>
      <c r="E1148" s="86">
        <f>QUOTIENT(206654480000,1000000)</f>
        <v>206654</v>
      </c>
      <c r="F1148" s="87">
        <f>QUOTIENT(1550538360000,1000000)</f>
        <v>1550538</v>
      </c>
      <c r="G1148" s="87">
        <f>QUOTIENT(1139380790000,1000000)</f>
        <v>1139380</v>
      </c>
      <c r="H1148" s="88">
        <f>QUOTIENT(0,1000000)</f>
        <v>0</v>
      </c>
    </row>
    <row r="1149" spans="1:8" ht="21.75" customHeight="1" x14ac:dyDescent="0.15">
      <c r="A1149" s="250"/>
      <c r="B1149" s="23" t="s">
        <v>12</v>
      </c>
      <c r="C1149" s="22">
        <v>261</v>
      </c>
      <c r="D1149" s="86">
        <f>QUOTIENT(6887300000000,1000000)</f>
        <v>6887300</v>
      </c>
      <c r="E1149" s="86">
        <f>QUOTIENT(940474000000,1000000)</f>
        <v>940474</v>
      </c>
      <c r="F1149" s="87">
        <f>QUOTIENT(2186254000000,1000000)</f>
        <v>2186254</v>
      </c>
      <c r="G1149" s="87">
        <f>QUOTIENT(3731772000000,1000000)</f>
        <v>3731772</v>
      </c>
      <c r="H1149" s="88">
        <f>QUOTIENT(28800000000,1000000)</f>
        <v>28800</v>
      </c>
    </row>
    <row r="1150" spans="1:8" ht="21.75" customHeight="1" x14ac:dyDescent="0.15">
      <c r="A1150" s="250"/>
      <c r="B1150" s="23" t="s">
        <v>11</v>
      </c>
      <c r="C1150" s="22">
        <v>65</v>
      </c>
      <c r="D1150" s="86">
        <f>QUOTIENT(1358350000000,1000000)</f>
        <v>1358350</v>
      </c>
      <c r="E1150" s="86">
        <f>QUOTIENT(122100000000,1000000)</f>
        <v>122100</v>
      </c>
      <c r="F1150" s="87">
        <f>QUOTIENT(599550000000,1000000)</f>
        <v>599550</v>
      </c>
      <c r="G1150" s="87">
        <f>QUOTIENT(636700000000,1000000)</f>
        <v>636700</v>
      </c>
      <c r="H1150" s="88">
        <f>QUOTIENT(0,1000000)</f>
        <v>0</v>
      </c>
    </row>
    <row r="1151" spans="1:8" ht="21.75" customHeight="1" x14ac:dyDescent="0.15">
      <c r="A1151" s="250"/>
      <c r="B1151" s="23" t="s">
        <v>10</v>
      </c>
      <c r="C1151" s="22">
        <v>0</v>
      </c>
      <c r="D1151" s="86">
        <f t="shared" ref="D1151:G1153" si="30">QUOTIENT(0,1000000)</f>
        <v>0</v>
      </c>
      <c r="E1151" s="86">
        <f t="shared" si="30"/>
        <v>0</v>
      </c>
      <c r="F1151" s="87">
        <f t="shared" si="30"/>
        <v>0</v>
      </c>
      <c r="G1151" s="87">
        <f t="shared" si="30"/>
        <v>0</v>
      </c>
      <c r="H1151" s="88">
        <f>QUOTIENT(0,1000000)</f>
        <v>0</v>
      </c>
    </row>
    <row r="1152" spans="1:8" ht="21.75" customHeight="1" x14ac:dyDescent="0.15">
      <c r="A1152" s="250"/>
      <c r="B1152" s="23" t="s">
        <v>9</v>
      </c>
      <c r="C1152" s="22">
        <v>0</v>
      </c>
      <c r="D1152" s="86">
        <f t="shared" si="30"/>
        <v>0</v>
      </c>
      <c r="E1152" s="86">
        <f t="shared" si="30"/>
        <v>0</v>
      </c>
      <c r="F1152" s="87">
        <f t="shared" si="30"/>
        <v>0</v>
      </c>
      <c r="G1152" s="87">
        <f t="shared" si="30"/>
        <v>0</v>
      </c>
      <c r="H1152" s="88">
        <f>QUOTIENT(0,1000000)</f>
        <v>0</v>
      </c>
    </row>
    <row r="1153" spans="1:8" ht="21.75" customHeight="1" x14ac:dyDescent="0.15">
      <c r="A1153" s="250"/>
      <c r="B1153" s="23" t="s">
        <v>8</v>
      </c>
      <c r="C1153" s="22">
        <v>0</v>
      </c>
      <c r="D1153" s="86">
        <f t="shared" si="30"/>
        <v>0</v>
      </c>
      <c r="E1153" s="86">
        <f t="shared" si="30"/>
        <v>0</v>
      </c>
      <c r="F1153" s="87">
        <f t="shared" si="30"/>
        <v>0</v>
      </c>
      <c r="G1153" s="87">
        <f t="shared" si="30"/>
        <v>0</v>
      </c>
      <c r="H1153" s="88">
        <f>QUOTIENT(0,1000000)</f>
        <v>0</v>
      </c>
    </row>
    <row r="1154" spans="1:8" ht="21.75" customHeight="1" x14ac:dyDescent="0.15">
      <c r="A1154" s="251"/>
      <c r="B1154" s="23" t="s">
        <v>7</v>
      </c>
      <c r="C1154" s="22">
        <v>48</v>
      </c>
      <c r="D1154" s="86">
        <f>QUOTIENT(18320000000,1000000)</f>
        <v>18320</v>
      </c>
      <c r="E1154" s="86">
        <f>QUOTIENT(0,1000000)</f>
        <v>0</v>
      </c>
      <c r="F1154" s="87">
        <f>QUOTIENT(14000000000,1000000)</f>
        <v>14000</v>
      </c>
      <c r="G1154" s="87">
        <f>QUOTIENT(4320000000,1000000)</f>
        <v>4320</v>
      </c>
      <c r="H1154" s="88">
        <f>QUOTIENT(0,1000000)</f>
        <v>0</v>
      </c>
    </row>
    <row r="1155" spans="1:8" ht="21.75" customHeight="1" x14ac:dyDescent="0.15">
      <c r="A1155" s="18" t="s">
        <v>6</v>
      </c>
      <c r="B1155" s="17" t="s">
        <v>5</v>
      </c>
      <c r="C1155" s="16">
        <v>3346</v>
      </c>
      <c r="D1155" s="80">
        <v>26433326</v>
      </c>
      <c r="E1155" s="80">
        <v>794300</v>
      </c>
      <c r="F1155" s="81">
        <v>15598737</v>
      </c>
      <c r="G1155" s="81">
        <v>8442917</v>
      </c>
      <c r="H1155" s="82">
        <v>1597372</v>
      </c>
    </row>
    <row r="1156" spans="1:8" ht="21.75" customHeight="1" x14ac:dyDescent="0.15">
      <c r="A1156" s="252" t="s">
        <v>4</v>
      </c>
      <c r="B1156" s="12" t="s">
        <v>3</v>
      </c>
      <c r="C1156" s="11">
        <v>5717</v>
      </c>
      <c r="D1156" s="89">
        <f>QUOTIENT(96360458204434,1000000)</f>
        <v>96360458</v>
      </c>
      <c r="E1156" s="89">
        <f>QUOTIENT(60452306461991,1000000)</f>
        <v>60452306</v>
      </c>
      <c r="F1156" s="90">
        <f>QUOTIENT(16480103219572,1000000)</f>
        <v>16480103</v>
      </c>
      <c r="G1156" s="90">
        <f>QUOTIENT(12164140515263,1000000)</f>
        <v>12164140</v>
      </c>
      <c r="H1156" s="91">
        <f>QUOTIENT(7263908007608,1000000)</f>
        <v>7263908</v>
      </c>
    </row>
    <row r="1157" spans="1:8" ht="21.75" customHeight="1" thickBot="1" x14ac:dyDescent="0.2">
      <c r="A1157" s="253"/>
      <c r="B1157" s="7" t="s">
        <v>1153</v>
      </c>
      <c r="C1157" s="6">
        <v>8242</v>
      </c>
      <c r="D1157" s="92" t="s">
        <v>2178</v>
      </c>
      <c r="E1157" s="92" t="s">
        <v>2178</v>
      </c>
      <c r="F1157" s="92" t="s">
        <v>2178</v>
      </c>
      <c r="G1157" s="92" t="s">
        <v>2178</v>
      </c>
      <c r="H1157" s="93" t="s">
        <v>2178</v>
      </c>
    </row>
    <row r="1158" spans="1:8" ht="18" customHeight="1" x14ac:dyDescent="0.15">
      <c r="A1158" s="3" t="s">
        <v>1155</v>
      </c>
      <c r="B1158" s="2"/>
      <c r="C1158" s="2"/>
      <c r="D1158" s="2"/>
      <c r="E1158" s="2"/>
      <c r="F1158" s="2"/>
      <c r="G1158" s="2"/>
      <c r="H1158" s="2"/>
    </row>
    <row r="1159" spans="1:8" ht="18" customHeight="1" x14ac:dyDescent="0.15">
      <c r="A1159" s="3" t="s">
        <v>2587</v>
      </c>
      <c r="B1159" s="2"/>
      <c r="C1159" s="2"/>
      <c r="D1159" s="2"/>
      <c r="E1159" s="2"/>
      <c r="F1159" s="2"/>
      <c r="G1159" s="2"/>
      <c r="H1159" s="2"/>
    </row>
    <row r="1160" spans="1:8" ht="18" customHeight="1" x14ac:dyDescent="0.15">
      <c r="A1160" s="3" t="s">
        <v>1156</v>
      </c>
      <c r="B1160" s="2"/>
      <c r="C1160" s="2"/>
      <c r="D1160" s="2"/>
      <c r="E1160" s="2"/>
      <c r="F1160" s="2"/>
      <c r="G1160" s="2"/>
      <c r="H1160" s="2"/>
    </row>
    <row r="1161" spans="1:8" ht="18" customHeight="1" x14ac:dyDescent="0.15">
      <c r="A1161" s="3" t="s">
        <v>2499</v>
      </c>
      <c r="B1161" s="2"/>
      <c r="C1161" s="2"/>
      <c r="D1161" s="2"/>
      <c r="E1161" s="2"/>
      <c r="F1161" s="2"/>
      <c r="G1161" s="2"/>
      <c r="H1161" s="2"/>
    </row>
    <row r="1162" spans="1:8" ht="24" x14ac:dyDescent="0.15">
      <c r="A1162" s="230" t="s">
        <v>2496</v>
      </c>
      <c r="B1162" s="230"/>
      <c r="C1162" s="230"/>
      <c r="D1162" s="230"/>
      <c r="E1162" s="230"/>
      <c r="F1162" s="230"/>
      <c r="G1162" s="230"/>
      <c r="H1162" s="230"/>
    </row>
    <row r="1163" spans="1:8" ht="18" customHeight="1" x14ac:dyDescent="0.15">
      <c r="A1163" s="231"/>
      <c r="B1163" s="231"/>
      <c r="C1163" s="231"/>
      <c r="D1163" s="231"/>
      <c r="E1163" s="231"/>
      <c r="F1163" s="231"/>
      <c r="G1163" s="231"/>
      <c r="H1163" s="231"/>
    </row>
    <row r="1164" spans="1:8" thickBot="1" x14ac:dyDescent="0.2">
      <c r="A1164" s="58" t="s">
        <v>48</v>
      </c>
    </row>
    <row r="1165" spans="1:8" ht="18" customHeight="1" x14ac:dyDescent="0.15">
      <c r="A1165" s="232" t="s">
        <v>47</v>
      </c>
      <c r="B1165" s="235" t="s">
        <v>46</v>
      </c>
      <c r="C1165" s="238" t="s">
        <v>45</v>
      </c>
      <c r="D1165" s="241" t="s">
        <v>44</v>
      </c>
      <c r="E1165" s="131"/>
      <c r="F1165" s="56"/>
      <c r="G1165" s="56"/>
      <c r="H1165" s="55"/>
    </row>
    <row r="1166" spans="1:8" ht="18" customHeight="1" x14ac:dyDescent="0.15">
      <c r="A1166" s="233"/>
      <c r="B1166" s="236"/>
      <c r="C1166" s="239"/>
      <c r="D1166" s="242"/>
      <c r="E1166" s="244" t="s">
        <v>43</v>
      </c>
      <c r="F1166" s="246" t="s">
        <v>42</v>
      </c>
      <c r="G1166" s="246" t="s">
        <v>41</v>
      </c>
      <c r="H1166" s="248" t="s">
        <v>40</v>
      </c>
    </row>
    <row r="1167" spans="1:8" ht="18" customHeight="1" thickBot="1" x14ac:dyDescent="0.2">
      <c r="A1167" s="234"/>
      <c r="B1167" s="237"/>
      <c r="C1167" s="240"/>
      <c r="D1167" s="243"/>
      <c r="E1167" s="245"/>
      <c r="F1167" s="247"/>
      <c r="G1167" s="247"/>
      <c r="H1167" s="249"/>
    </row>
    <row r="1168" spans="1:8" s="60" customFormat="1" ht="18" customHeight="1" thickTop="1" x14ac:dyDescent="0.15">
      <c r="A1168" s="132"/>
      <c r="B1168" s="133"/>
      <c r="C1168" s="52"/>
      <c r="D1168" s="51" t="s">
        <v>39</v>
      </c>
      <c r="E1168" s="50" t="s">
        <v>39</v>
      </c>
      <c r="F1168" s="49" t="s">
        <v>39</v>
      </c>
      <c r="G1168" s="49" t="s">
        <v>39</v>
      </c>
      <c r="H1168" s="48" t="s">
        <v>39</v>
      </c>
    </row>
    <row r="1169" spans="1:8" ht="21.75" customHeight="1" x14ac:dyDescent="0.15">
      <c r="A1169" s="250" t="s">
        <v>38</v>
      </c>
      <c r="B1169" s="61" t="s">
        <v>37</v>
      </c>
      <c r="C1169" s="62">
        <v>3924</v>
      </c>
      <c r="D1169" s="63">
        <f>QUOTIENT(760432612847350,1000000)</f>
        <v>760432612</v>
      </c>
      <c r="E1169" s="63">
        <f>QUOTIENT(273116966849822,1000000)</f>
        <v>273116966</v>
      </c>
      <c r="F1169" s="64">
        <f>QUOTIENT(241883846957478,1000000)</f>
        <v>241883846</v>
      </c>
      <c r="G1169" s="64">
        <f>QUOTIENT(235108674428665,1000000)</f>
        <v>235108674</v>
      </c>
      <c r="H1169" s="65">
        <f>QUOTIENT(10323124611384,1000000)</f>
        <v>10323124</v>
      </c>
    </row>
    <row r="1170" spans="1:8" ht="21.75" customHeight="1" x14ac:dyDescent="0.15">
      <c r="A1170" s="250"/>
      <c r="B1170" s="66" t="s">
        <v>36</v>
      </c>
      <c r="C1170" s="67">
        <v>18</v>
      </c>
      <c r="D1170" s="68">
        <f>QUOTIENT(112647440500,1000000)</f>
        <v>112647</v>
      </c>
      <c r="E1170" s="68">
        <f>QUOTIENT(29664172500,1000000)</f>
        <v>29664</v>
      </c>
      <c r="F1170" s="69">
        <f>QUOTIENT(81033672000,1000000)</f>
        <v>81033</v>
      </c>
      <c r="G1170" s="69">
        <f>QUOTIENT(1944684500,1000000)</f>
        <v>1944</v>
      </c>
      <c r="H1170" s="70">
        <f>QUOTIENT(4911500,1000000)</f>
        <v>4</v>
      </c>
    </row>
    <row r="1171" spans="1:8" ht="21.75" customHeight="1" x14ac:dyDescent="0.15">
      <c r="A1171" s="250"/>
      <c r="B1171" s="66" t="s">
        <v>35</v>
      </c>
      <c r="C1171" s="67">
        <v>102</v>
      </c>
      <c r="D1171" s="68">
        <f>QUOTIENT(0,1000000)</f>
        <v>0</v>
      </c>
      <c r="E1171" s="68">
        <f>QUOTIENT(0,1000000)</f>
        <v>0</v>
      </c>
      <c r="F1171" s="69">
        <f>QUOTIENT(0,1000000)</f>
        <v>0</v>
      </c>
      <c r="G1171" s="69">
        <f>QUOTIENT(0,1000000)</f>
        <v>0</v>
      </c>
      <c r="H1171" s="70">
        <f>QUOTIENT(0,1000000)</f>
        <v>0</v>
      </c>
    </row>
    <row r="1172" spans="1:8" ht="21.75" customHeight="1" x14ac:dyDescent="0.15">
      <c r="A1172" s="250"/>
      <c r="B1172" s="71" t="s">
        <v>34</v>
      </c>
      <c r="C1172" s="72">
        <v>1</v>
      </c>
      <c r="D1172" s="73">
        <f>QUOTIENT(172593701400,1000000)</f>
        <v>172593</v>
      </c>
      <c r="E1172" s="73">
        <f>QUOTIENT(128290259900,1000000)</f>
        <v>128290</v>
      </c>
      <c r="F1172" s="74">
        <f>QUOTIENT(8456633700,1000000)</f>
        <v>8456</v>
      </c>
      <c r="G1172" s="74">
        <f>QUOTIENT(31523082400,1000000)</f>
        <v>31523</v>
      </c>
      <c r="H1172" s="75">
        <f>QUOTIENT(4323725400,1000000)</f>
        <v>4323</v>
      </c>
    </row>
    <row r="1173" spans="1:8" ht="21.75" customHeight="1" x14ac:dyDescent="0.15">
      <c r="A1173" s="250"/>
      <c r="B1173" s="66" t="s">
        <v>33</v>
      </c>
      <c r="C1173" s="67">
        <v>68</v>
      </c>
      <c r="D1173" s="68">
        <f>QUOTIENT(17166706805600,1000000)</f>
        <v>17166706</v>
      </c>
      <c r="E1173" s="68">
        <f>QUOTIENT(4266808654900,1000000)</f>
        <v>4266808</v>
      </c>
      <c r="F1173" s="69">
        <f>QUOTIENT(4952837227000,1000000)</f>
        <v>4952837</v>
      </c>
      <c r="G1173" s="69">
        <f>QUOTIENT(7776190854550,1000000)</f>
        <v>7776190</v>
      </c>
      <c r="H1173" s="70">
        <f>QUOTIENT(170870069150,1000000)</f>
        <v>170870</v>
      </c>
    </row>
    <row r="1174" spans="1:8" ht="21.75" customHeight="1" x14ac:dyDescent="0.15">
      <c r="A1174" s="250"/>
      <c r="B1174" s="76" t="s">
        <v>32</v>
      </c>
      <c r="C1174" s="67">
        <v>212</v>
      </c>
      <c r="D1174" s="68">
        <f>QUOTIENT(62515490575908,1000000)</f>
        <v>62515490</v>
      </c>
      <c r="E1174" s="68">
        <f>QUOTIENT(5039171011820,1000000)</f>
        <v>5039171</v>
      </c>
      <c r="F1174" s="69">
        <f>QUOTIENT(1689140722872,1000000)</f>
        <v>1689140</v>
      </c>
      <c r="G1174" s="69">
        <f>QUOTIENT(55563097721110,1000000)</f>
        <v>55563097</v>
      </c>
      <c r="H1174" s="70">
        <f>QUOTIENT(224081120105,1000000)</f>
        <v>224081</v>
      </c>
    </row>
    <row r="1175" spans="1:8" ht="21.75" customHeight="1" x14ac:dyDescent="0.15">
      <c r="A1175" s="251"/>
      <c r="B1175" s="77" t="s">
        <v>31</v>
      </c>
      <c r="C1175" s="72">
        <v>45</v>
      </c>
      <c r="D1175" s="73">
        <f>QUOTIENT(429505337033,1000000)</f>
        <v>429505</v>
      </c>
      <c r="E1175" s="73">
        <f>QUOTIENT(324736223742,1000000)</f>
        <v>324736</v>
      </c>
      <c r="F1175" s="74">
        <f>QUOTIENT(14116175581,1000000)</f>
        <v>14116</v>
      </c>
      <c r="G1175" s="74">
        <f>QUOTIENT(75695291535,1000000)</f>
        <v>75695</v>
      </c>
      <c r="H1175" s="75">
        <f>QUOTIENT(14957646175,1000000)</f>
        <v>14957</v>
      </c>
    </row>
    <row r="1176" spans="1:8" ht="21.75" customHeight="1" x14ac:dyDescent="0.15">
      <c r="A1176" s="30" t="s">
        <v>30</v>
      </c>
      <c r="B1176" s="78" t="s">
        <v>29</v>
      </c>
      <c r="C1176" s="79">
        <v>27</v>
      </c>
      <c r="D1176" s="80">
        <f>QUOTIENT(119708368779,1000000)</f>
        <v>119708</v>
      </c>
      <c r="E1176" s="80">
        <f>QUOTIENT(104221044792,1000000)</f>
        <v>104221</v>
      </c>
      <c r="F1176" s="81">
        <f>QUOTIENT(520156755,1000000)</f>
        <v>520</v>
      </c>
      <c r="G1176" s="81">
        <f>QUOTIENT(351110120,1000000)</f>
        <v>351</v>
      </c>
      <c r="H1176" s="82">
        <f>QUOTIENT(14616057111,1000000)</f>
        <v>14616</v>
      </c>
    </row>
    <row r="1177" spans="1:8" ht="21.75" customHeight="1" x14ac:dyDescent="0.15">
      <c r="A1177" s="252" t="s">
        <v>28</v>
      </c>
      <c r="B1177" s="17" t="s">
        <v>27</v>
      </c>
      <c r="C1177" s="16">
        <v>3377</v>
      </c>
      <c r="D1177" s="83">
        <f>QUOTIENT(64806351570000,1000000)</f>
        <v>64806351</v>
      </c>
      <c r="E1177" s="83">
        <f>QUOTIENT(9873637950000,1000000)</f>
        <v>9873637</v>
      </c>
      <c r="F1177" s="84">
        <f>QUOTIENT(29953824450000,1000000)</f>
        <v>29953824</v>
      </c>
      <c r="G1177" s="84">
        <f>QUOTIENT(24878179140000,1000000)</f>
        <v>24878179</v>
      </c>
      <c r="H1177" s="85">
        <f>QUOTIENT(100710030000,1000000)</f>
        <v>100710</v>
      </c>
    </row>
    <row r="1178" spans="1:8" ht="21.75" customHeight="1" x14ac:dyDescent="0.15">
      <c r="A1178" s="250"/>
      <c r="B1178" s="23" t="s">
        <v>26</v>
      </c>
      <c r="C1178" s="22">
        <v>3570</v>
      </c>
      <c r="D1178" s="86">
        <f>QUOTIENT(15366177999000,1000000)</f>
        <v>15366177</v>
      </c>
      <c r="E1178" s="86">
        <f>QUOTIENT(495777894000,1000000)</f>
        <v>495777</v>
      </c>
      <c r="F1178" s="87">
        <f>QUOTIENT(10317080757000,1000000)</f>
        <v>10317080</v>
      </c>
      <c r="G1178" s="87">
        <f>QUOTIENT(4542472348000,1000000)</f>
        <v>4542472</v>
      </c>
      <c r="H1178" s="88">
        <f>QUOTIENT(10847000000,1000000)</f>
        <v>10847</v>
      </c>
    </row>
    <row r="1179" spans="1:8" ht="21.75" customHeight="1" x14ac:dyDescent="0.15">
      <c r="A1179" s="250"/>
      <c r="B1179" s="24" t="s">
        <v>25</v>
      </c>
      <c r="C1179" s="22">
        <v>582</v>
      </c>
      <c r="D1179" s="86">
        <f>QUOTIENT(23829680000000,1000000)</f>
        <v>23829680</v>
      </c>
      <c r="E1179" s="86">
        <f>QUOTIENT(1714915600000,1000000)</f>
        <v>1714915</v>
      </c>
      <c r="F1179" s="87">
        <f>QUOTIENT(10286160200000,1000000)</f>
        <v>10286160</v>
      </c>
      <c r="G1179" s="87">
        <f>QUOTIENT(11764990200000,1000000)</f>
        <v>11764990</v>
      </c>
      <c r="H1179" s="88">
        <f>QUOTIENT(63614000000,1000000)</f>
        <v>63614</v>
      </c>
    </row>
    <row r="1180" spans="1:8" ht="21.75" customHeight="1" x14ac:dyDescent="0.15">
      <c r="A1180" s="250"/>
      <c r="B1180" s="23" t="s">
        <v>24</v>
      </c>
      <c r="C1180" s="22">
        <v>2065</v>
      </c>
      <c r="D1180" s="86">
        <f>QUOTIENT(57853400000000,1000000)</f>
        <v>57853400</v>
      </c>
      <c r="E1180" s="86">
        <f>QUOTIENT(7117488900000,1000000)</f>
        <v>7117488</v>
      </c>
      <c r="F1180" s="87">
        <f>QUOTIENT(19663653400000,1000000)</f>
        <v>19663653</v>
      </c>
      <c r="G1180" s="87">
        <f>QUOTIENT(31067907700000,1000000)</f>
        <v>31067907</v>
      </c>
      <c r="H1180" s="88">
        <f>QUOTIENT(4350000000,1000000)</f>
        <v>4350</v>
      </c>
    </row>
    <row r="1181" spans="1:8" ht="21.75" customHeight="1" x14ac:dyDescent="0.15">
      <c r="A1181" s="250"/>
      <c r="B1181" s="23" t="s">
        <v>23</v>
      </c>
      <c r="C1181" s="22">
        <v>477</v>
      </c>
      <c r="D1181" s="86">
        <f>QUOTIENT(4985709000000,1000000)</f>
        <v>4985709</v>
      </c>
      <c r="E1181" s="86">
        <f>QUOTIENT(344252100000,1000000)</f>
        <v>344252</v>
      </c>
      <c r="F1181" s="87">
        <f>QUOTIENT(101770500000,1000000)</f>
        <v>101770</v>
      </c>
      <c r="G1181" s="87">
        <f>QUOTIENT(4539686400000,1000000)</f>
        <v>4539686</v>
      </c>
      <c r="H1181" s="88">
        <f>QUOTIENT(0,1000000)</f>
        <v>0</v>
      </c>
    </row>
    <row r="1182" spans="1:8" ht="21.75" customHeight="1" x14ac:dyDescent="0.15">
      <c r="A1182" s="250"/>
      <c r="B1182" s="23" t="s">
        <v>22</v>
      </c>
      <c r="C1182" s="22">
        <v>158</v>
      </c>
      <c r="D1182" s="86">
        <f>QUOTIENT(1284300000000,1000000)</f>
        <v>1284300</v>
      </c>
      <c r="E1182" s="86">
        <f>QUOTIENT(318770000000,1000000)</f>
        <v>318770</v>
      </c>
      <c r="F1182" s="87">
        <f>QUOTIENT(452900000000,1000000)</f>
        <v>452900</v>
      </c>
      <c r="G1182" s="87">
        <f>QUOTIENT(512630000000,1000000)</f>
        <v>512630</v>
      </c>
      <c r="H1182" s="88">
        <f>QUOTIENT(0,1000000)</f>
        <v>0</v>
      </c>
    </row>
    <row r="1183" spans="1:8" ht="21.75" customHeight="1" x14ac:dyDescent="0.15">
      <c r="A1183" s="250"/>
      <c r="B1183" s="23" t="s">
        <v>21</v>
      </c>
      <c r="C1183" s="22">
        <v>23</v>
      </c>
      <c r="D1183" s="86">
        <f>QUOTIENT(151996000000,1000000)</f>
        <v>151996</v>
      </c>
      <c r="E1183" s="86">
        <f>QUOTIENT(115197000000,1000000)</f>
        <v>115197</v>
      </c>
      <c r="F1183" s="87">
        <f>QUOTIENT(21793000000,1000000)</f>
        <v>21793</v>
      </c>
      <c r="G1183" s="87">
        <f>QUOTIENT(15006000000,1000000)</f>
        <v>15006</v>
      </c>
      <c r="H1183" s="88">
        <f>QUOTIENT(0,1000000)</f>
        <v>0</v>
      </c>
    </row>
    <row r="1184" spans="1:8" ht="21.75" customHeight="1" x14ac:dyDescent="0.15">
      <c r="A1184" s="250"/>
      <c r="B1184" s="23" t="s">
        <v>20</v>
      </c>
      <c r="C1184" s="22">
        <v>0</v>
      </c>
      <c r="D1184" s="86">
        <f>QUOTIENT(0,1000000)</f>
        <v>0</v>
      </c>
      <c r="E1184" s="86">
        <f>QUOTIENT(0,1000000)</f>
        <v>0</v>
      </c>
      <c r="F1184" s="87">
        <f>QUOTIENT(0,1000000)</f>
        <v>0</v>
      </c>
      <c r="G1184" s="87">
        <f>QUOTIENT(0,1000000)</f>
        <v>0</v>
      </c>
      <c r="H1184" s="88">
        <f>QUOTIENT(0,1000000)</f>
        <v>0</v>
      </c>
    </row>
    <row r="1185" spans="1:8" ht="21.75" customHeight="1" x14ac:dyDescent="0.15">
      <c r="A1185" s="250"/>
      <c r="B1185" s="23" t="s">
        <v>19</v>
      </c>
      <c r="C1185" s="22">
        <v>217</v>
      </c>
      <c r="D1185" s="86">
        <f>QUOTIENT(5488640000000,1000000)</f>
        <v>5488640</v>
      </c>
      <c r="E1185" s="86">
        <f>QUOTIENT(597130000000,1000000)</f>
        <v>597130</v>
      </c>
      <c r="F1185" s="87">
        <f>QUOTIENT(2667830000000,1000000)</f>
        <v>2667830</v>
      </c>
      <c r="G1185" s="87">
        <f>QUOTIENT(2169180000000,1000000)</f>
        <v>2169180</v>
      </c>
      <c r="H1185" s="88">
        <f>QUOTIENT(54500000000,1000000)</f>
        <v>54500</v>
      </c>
    </row>
    <row r="1186" spans="1:8" ht="21.75" customHeight="1" x14ac:dyDescent="0.15">
      <c r="A1186" s="250"/>
      <c r="B1186" s="23" t="s">
        <v>18</v>
      </c>
      <c r="C1186" s="22">
        <v>3971</v>
      </c>
      <c r="D1186" s="86">
        <f>QUOTIENT(82066440500000,1000000)</f>
        <v>82066440</v>
      </c>
      <c r="E1186" s="86">
        <f>QUOTIENT(19139985300000,1000000)</f>
        <v>19139985</v>
      </c>
      <c r="F1186" s="87">
        <f>QUOTIENT(31628558200000,1000000)</f>
        <v>31628558</v>
      </c>
      <c r="G1186" s="87">
        <f>QUOTIENT(30773480000000,1000000)</f>
        <v>30773480</v>
      </c>
      <c r="H1186" s="88">
        <f>QUOTIENT(524417000000,1000000)</f>
        <v>524417</v>
      </c>
    </row>
    <row r="1187" spans="1:8" ht="21.75" customHeight="1" x14ac:dyDescent="0.15">
      <c r="A1187" s="250"/>
      <c r="B1187" s="23" t="s">
        <v>17</v>
      </c>
      <c r="C1187" s="22">
        <v>690</v>
      </c>
      <c r="D1187" s="86">
        <f>QUOTIENT(16136360000000,1000000)</f>
        <v>16136360</v>
      </c>
      <c r="E1187" s="86">
        <f>QUOTIENT(3759558500000,1000000)</f>
        <v>3759558</v>
      </c>
      <c r="F1187" s="87">
        <f>QUOTIENT(6608584400000,1000000)</f>
        <v>6608584</v>
      </c>
      <c r="G1187" s="87">
        <f>QUOTIENT(5716901100000,1000000)</f>
        <v>5716901</v>
      </c>
      <c r="H1187" s="88">
        <f>QUOTIENT(51316000000,1000000)</f>
        <v>51316</v>
      </c>
    </row>
    <row r="1188" spans="1:8" ht="21.75" customHeight="1" x14ac:dyDescent="0.15">
      <c r="A1188" s="250"/>
      <c r="B1188" s="23" t="s">
        <v>16</v>
      </c>
      <c r="C1188" s="22">
        <v>63517</v>
      </c>
      <c r="D1188" s="86">
        <f>QUOTIENT(15979885288000,1000000)</f>
        <v>15979885</v>
      </c>
      <c r="E1188" s="86">
        <f>QUOTIENT(4546131126000,1000000)</f>
        <v>4546131</v>
      </c>
      <c r="F1188" s="87">
        <f>QUOTIENT(5002109208000,1000000)</f>
        <v>5002109</v>
      </c>
      <c r="G1188" s="87">
        <f>QUOTIENT(6426954954000,1000000)</f>
        <v>6426954</v>
      </c>
      <c r="H1188" s="88">
        <f>QUOTIENT(4690000000,1000000)</f>
        <v>4690</v>
      </c>
    </row>
    <row r="1189" spans="1:8" ht="21.75" customHeight="1" x14ac:dyDescent="0.15">
      <c r="A1189" s="250"/>
      <c r="B1189" s="23" t="s">
        <v>15</v>
      </c>
      <c r="C1189" s="22">
        <v>530</v>
      </c>
      <c r="D1189" s="86">
        <f>QUOTIENT(4071436955000,1000000)</f>
        <v>4071436</v>
      </c>
      <c r="E1189" s="86">
        <f>QUOTIENT(3499073526000,1000000)</f>
        <v>3499073</v>
      </c>
      <c r="F1189" s="87">
        <f>QUOTIENT(461065895000,1000000)</f>
        <v>461065</v>
      </c>
      <c r="G1189" s="87">
        <f>QUOTIENT(111052534000,1000000)</f>
        <v>111052</v>
      </c>
      <c r="H1189" s="88">
        <f>QUOTIENT(245000000,1000000)</f>
        <v>245</v>
      </c>
    </row>
    <row r="1190" spans="1:8" ht="21.75" customHeight="1" x14ac:dyDescent="0.15">
      <c r="A1190" s="250"/>
      <c r="B1190" s="23" t="s">
        <v>14</v>
      </c>
      <c r="C1190" s="22">
        <v>37</v>
      </c>
      <c r="D1190" s="86">
        <f>QUOTIENT(112700000000,1000000)</f>
        <v>112700</v>
      </c>
      <c r="E1190" s="86">
        <f>QUOTIENT(23100000000,1000000)</f>
        <v>23100</v>
      </c>
      <c r="F1190" s="87">
        <f>QUOTIENT(59800000000,1000000)</f>
        <v>59800</v>
      </c>
      <c r="G1190" s="87">
        <f>QUOTIENT(29800000000,1000000)</f>
        <v>29800</v>
      </c>
      <c r="H1190" s="88">
        <f>QUOTIENT(0,1000000)</f>
        <v>0</v>
      </c>
    </row>
    <row r="1191" spans="1:8" ht="21.75" customHeight="1" x14ac:dyDescent="0.15">
      <c r="A1191" s="250"/>
      <c r="B1191" s="23" t="s">
        <v>13</v>
      </c>
      <c r="C1191" s="22">
        <v>689</v>
      </c>
      <c r="D1191" s="86">
        <f>QUOTIENT(2893726827000,1000000)</f>
        <v>2893726</v>
      </c>
      <c r="E1191" s="86">
        <f>QUOTIENT(213499677000,1000000)</f>
        <v>213499</v>
      </c>
      <c r="F1191" s="87">
        <f>QUOTIENT(1553646360000,1000000)</f>
        <v>1553646</v>
      </c>
      <c r="G1191" s="87">
        <f>QUOTIENT(1126580790000,1000000)</f>
        <v>1126580</v>
      </c>
      <c r="H1191" s="88">
        <f>QUOTIENT(0,1000000)</f>
        <v>0</v>
      </c>
    </row>
    <row r="1192" spans="1:8" ht="21.75" customHeight="1" x14ac:dyDescent="0.15">
      <c r="A1192" s="250"/>
      <c r="B1192" s="23" t="s">
        <v>12</v>
      </c>
      <c r="C1192" s="22">
        <v>262</v>
      </c>
      <c r="D1192" s="86">
        <f>QUOTIENT(6996900000000,1000000)</f>
        <v>6996900</v>
      </c>
      <c r="E1192" s="86">
        <f>QUOTIENT(938874000000,1000000)</f>
        <v>938874</v>
      </c>
      <c r="F1192" s="87">
        <f>QUOTIENT(2251754000000,1000000)</f>
        <v>2251754</v>
      </c>
      <c r="G1192" s="87">
        <f>QUOTIENT(3777772000000,1000000)</f>
        <v>3777772</v>
      </c>
      <c r="H1192" s="88">
        <f>QUOTIENT(28500000000,1000000)</f>
        <v>28500</v>
      </c>
    </row>
    <row r="1193" spans="1:8" ht="21.75" customHeight="1" x14ac:dyDescent="0.15">
      <c r="A1193" s="250"/>
      <c r="B1193" s="23" t="s">
        <v>11</v>
      </c>
      <c r="C1193" s="22">
        <v>64</v>
      </c>
      <c r="D1193" s="86">
        <f>QUOTIENT(1353950000000,1000000)</f>
        <v>1353950</v>
      </c>
      <c r="E1193" s="86">
        <f>QUOTIENT(122100000000,1000000)</f>
        <v>122100</v>
      </c>
      <c r="F1193" s="87">
        <f>QUOTIENT(595150000000,1000000)</f>
        <v>595150</v>
      </c>
      <c r="G1193" s="87">
        <f>QUOTIENT(636700000000,1000000)</f>
        <v>636700</v>
      </c>
      <c r="H1193" s="88">
        <f>QUOTIENT(0,1000000)</f>
        <v>0</v>
      </c>
    </row>
    <row r="1194" spans="1:8" ht="21.75" customHeight="1" x14ac:dyDescent="0.15">
      <c r="A1194" s="250"/>
      <c r="B1194" s="23" t="s">
        <v>10</v>
      </c>
      <c r="C1194" s="22">
        <v>0</v>
      </c>
      <c r="D1194" s="86">
        <f t="shared" ref="D1194:G1196" si="31">QUOTIENT(0,1000000)</f>
        <v>0</v>
      </c>
      <c r="E1194" s="86">
        <f t="shared" si="31"/>
        <v>0</v>
      </c>
      <c r="F1194" s="87">
        <f t="shared" si="31"/>
        <v>0</v>
      </c>
      <c r="G1194" s="87">
        <f t="shared" si="31"/>
        <v>0</v>
      </c>
      <c r="H1194" s="88">
        <f>QUOTIENT(0,1000000)</f>
        <v>0</v>
      </c>
    </row>
    <row r="1195" spans="1:8" ht="21.75" customHeight="1" x14ac:dyDescent="0.15">
      <c r="A1195" s="250"/>
      <c r="B1195" s="23" t="s">
        <v>9</v>
      </c>
      <c r="C1195" s="22">
        <v>0</v>
      </c>
      <c r="D1195" s="86">
        <f t="shared" si="31"/>
        <v>0</v>
      </c>
      <c r="E1195" s="86">
        <f t="shared" si="31"/>
        <v>0</v>
      </c>
      <c r="F1195" s="87">
        <f t="shared" si="31"/>
        <v>0</v>
      </c>
      <c r="G1195" s="87">
        <f t="shared" si="31"/>
        <v>0</v>
      </c>
      <c r="H1195" s="88">
        <f>QUOTIENT(0,1000000)</f>
        <v>0</v>
      </c>
    </row>
    <row r="1196" spans="1:8" ht="21.75" customHeight="1" x14ac:dyDescent="0.15">
      <c r="A1196" s="250"/>
      <c r="B1196" s="23" t="s">
        <v>8</v>
      </c>
      <c r="C1196" s="22">
        <v>0</v>
      </c>
      <c r="D1196" s="86">
        <f t="shared" si="31"/>
        <v>0</v>
      </c>
      <c r="E1196" s="86">
        <f t="shared" si="31"/>
        <v>0</v>
      </c>
      <c r="F1196" s="87">
        <f t="shared" si="31"/>
        <v>0</v>
      </c>
      <c r="G1196" s="87">
        <f t="shared" si="31"/>
        <v>0</v>
      </c>
      <c r="H1196" s="88">
        <f>QUOTIENT(0,1000000)</f>
        <v>0</v>
      </c>
    </row>
    <row r="1197" spans="1:8" ht="21.75" customHeight="1" x14ac:dyDescent="0.15">
      <c r="A1197" s="251"/>
      <c r="B1197" s="23" t="s">
        <v>7</v>
      </c>
      <c r="C1197" s="22">
        <v>46</v>
      </c>
      <c r="D1197" s="86">
        <f>QUOTIENT(18724000000,1000000)</f>
        <v>18724</v>
      </c>
      <c r="E1197" s="86">
        <f>QUOTIENT(584000000,1000000)</f>
        <v>584</v>
      </c>
      <c r="F1197" s="87">
        <f>QUOTIENT(14000000000,1000000)</f>
        <v>14000</v>
      </c>
      <c r="G1197" s="87">
        <f>QUOTIENT(4140000000,1000000)</f>
        <v>4140</v>
      </c>
      <c r="H1197" s="88">
        <f>QUOTIENT(0,1000000)</f>
        <v>0</v>
      </c>
    </row>
    <row r="1198" spans="1:8" ht="21.75" customHeight="1" x14ac:dyDescent="0.15">
      <c r="A1198" s="18" t="s">
        <v>6</v>
      </c>
      <c r="B1198" s="17" t="s">
        <v>5</v>
      </c>
      <c r="C1198" s="16">
        <v>3359</v>
      </c>
      <c r="D1198" s="80">
        <v>23567420</v>
      </c>
      <c r="E1198" s="80">
        <v>836200</v>
      </c>
      <c r="F1198" s="81">
        <v>13903377</v>
      </c>
      <c r="G1198" s="81">
        <v>7576736</v>
      </c>
      <c r="H1198" s="82">
        <v>1251107</v>
      </c>
    </row>
    <row r="1199" spans="1:8" ht="21.75" customHeight="1" x14ac:dyDescent="0.15">
      <c r="A1199" s="252" t="s">
        <v>4</v>
      </c>
      <c r="B1199" s="12" t="s">
        <v>3</v>
      </c>
      <c r="C1199" s="11">
        <v>5712</v>
      </c>
      <c r="D1199" s="89">
        <f>QUOTIENT(102203747700747,1000000)</f>
        <v>102203747</v>
      </c>
      <c r="E1199" s="89">
        <f>QUOTIENT(64273301469132,1000000)</f>
        <v>64273301</v>
      </c>
      <c r="F1199" s="90">
        <f>QUOTIENT(17484567369420,1000000)</f>
        <v>17484567</v>
      </c>
      <c r="G1199" s="90">
        <f>QUOTIENT(12761018252390,1000000)</f>
        <v>12761018</v>
      </c>
      <c r="H1199" s="91">
        <f>QUOTIENT(7684860609805,1000000)</f>
        <v>7684860</v>
      </c>
    </row>
    <row r="1200" spans="1:8" ht="21.75" customHeight="1" thickBot="1" x14ac:dyDescent="0.2">
      <c r="A1200" s="253"/>
      <c r="B1200" s="7" t="s">
        <v>1153</v>
      </c>
      <c r="C1200" s="6">
        <v>8180</v>
      </c>
      <c r="D1200" s="92" t="s">
        <v>2178</v>
      </c>
      <c r="E1200" s="92" t="s">
        <v>2178</v>
      </c>
      <c r="F1200" s="92" t="s">
        <v>2178</v>
      </c>
      <c r="G1200" s="92" t="s">
        <v>2178</v>
      </c>
      <c r="H1200" s="93" t="s">
        <v>2178</v>
      </c>
    </row>
    <row r="1201" spans="1:8" ht="18" customHeight="1" x14ac:dyDescent="0.15">
      <c r="A1201" s="3" t="s">
        <v>1155</v>
      </c>
      <c r="B1201" s="2"/>
      <c r="C1201" s="2"/>
      <c r="D1201" s="2"/>
      <c r="E1201" s="2"/>
      <c r="F1201" s="2"/>
      <c r="G1201" s="2"/>
      <c r="H1201" s="2"/>
    </row>
    <row r="1202" spans="1:8" ht="18" customHeight="1" x14ac:dyDescent="0.15">
      <c r="A1202" s="3" t="s">
        <v>2587</v>
      </c>
      <c r="B1202" s="2"/>
      <c r="C1202" s="2"/>
      <c r="D1202" s="2"/>
      <c r="E1202" s="2"/>
      <c r="F1202" s="2"/>
      <c r="G1202" s="2"/>
      <c r="H1202" s="2"/>
    </row>
    <row r="1203" spans="1:8" ht="18" customHeight="1" x14ac:dyDescent="0.15">
      <c r="A1203" s="3" t="s">
        <v>1156</v>
      </c>
      <c r="B1203" s="2"/>
      <c r="C1203" s="2"/>
      <c r="D1203" s="2"/>
      <c r="E1203" s="2"/>
      <c r="F1203" s="2"/>
      <c r="G1203" s="2"/>
      <c r="H1203" s="2"/>
    </row>
    <row r="1204" spans="1:8" ht="18" customHeight="1" x14ac:dyDescent="0.15">
      <c r="A1204" s="3" t="s">
        <v>2497</v>
      </c>
      <c r="B1204" s="2"/>
      <c r="C1204" s="2"/>
      <c r="D1204" s="2"/>
      <c r="E1204" s="2"/>
      <c r="F1204" s="2"/>
      <c r="G1204" s="2"/>
      <c r="H1204" s="2"/>
    </row>
    <row r="1205" spans="1:8" ht="24" x14ac:dyDescent="0.15">
      <c r="A1205" s="230" t="s">
        <v>2494</v>
      </c>
      <c r="B1205" s="230"/>
      <c r="C1205" s="230"/>
      <c r="D1205" s="230"/>
      <c r="E1205" s="230"/>
      <c r="F1205" s="230"/>
      <c r="G1205" s="230"/>
      <c r="H1205" s="230"/>
    </row>
    <row r="1206" spans="1:8" ht="18" customHeight="1" x14ac:dyDescent="0.15">
      <c r="A1206" s="231"/>
      <c r="B1206" s="231"/>
      <c r="C1206" s="231"/>
      <c r="D1206" s="231"/>
      <c r="E1206" s="231"/>
      <c r="F1206" s="231"/>
      <c r="G1206" s="231"/>
      <c r="H1206" s="231"/>
    </row>
    <row r="1207" spans="1:8" thickBot="1" x14ac:dyDescent="0.2">
      <c r="A1207" s="58" t="s">
        <v>48</v>
      </c>
    </row>
    <row r="1208" spans="1:8" ht="18" customHeight="1" x14ac:dyDescent="0.15">
      <c r="A1208" s="232" t="s">
        <v>47</v>
      </c>
      <c r="B1208" s="235" t="s">
        <v>46</v>
      </c>
      <c r="C1208" s="238" t="s">
        <v>45</v>
      </c>
      <c r="D1208" s="241" t="s">
        <v>44</v>
      </c>
      <c r="E1208" s="128"/>
      <c r="F1208" s="56"/>
      <c r="G1208" s="56"/>
      <c r="H1208" s="55"/>
    </row>
    <row r="1209" spans="1:8" ht="18" customHeight="1" x14ac:dyDescent="0.15">
      <c r="A1209" s="233"/>
      <c r="B1209" s="236"/>
      <c r="C1209" s="239"/>
      <c r="D1209" s="242"/>
      <c r="E1209" s="244" t="s">
        <v>43</v>
      </c>
      <c r="F1209" s="246" t="s">
        <v>42</v>
      </c>
      <c r="G1209" s="246" t="s">
        <v>41</v>
      </c>
      <c r="H1209" s="248" t="s">
        <v>40</v>
      </c>
    </row>
    <row r="1210" spans="1:8" ht="18" customHeight="1" thickBot="1" x14ac:dyDescent="0.2">
      <c r="A1210" s="234"/>
      <c r="B1210" s="237"/>
      <c r="C1210" s="240"/>
      <c r="D1210" s="243"/>
      <c r="E1210" s="245"/>
      <c r="F1210" s="247"/>
      <c r="G1210" s="247"/>
      <c r="H1210" s="249"/>
    </row>
    <row r="1211" spans="1:8" s="60" customFormat="1" ht="18" customHeight="1" thickTop="1" x14ac:dyDescent="0.15">
      <c r="A1211" s="129"/>
      <c r="B1211" s="130"/>
      <c r="C1211" s="52"/>
      <c r="D1211" s="51" t="s">
        <v>39</v>
      </c>
      <c r="E1211" s="50" t="s">
        <v>39</v>
      </c>
      <c r="F1211" s="49" t="s">
        <v>39</v>
      </c>
      <c r="G1211" s="49" t="s">
        <v>39</v>
      </c>
      <c r="H1211" s="48" t="s">
        <v>39</v>
      </c>
    </row>
    <row r="1212" spans="1:8" ht="21.75" customHeight="1" x14ac:dyDescent="0.15">
      <c r="A1212" s="250" t="s">
        <v>38</v>
      </c>
      <c r="B1212" s="61" t="s">
        <v>37</v>
      </c>
      <c r="C1212" s="62">
        <v>3896</v>
      </c>
      <c r="D1212" s="63">
        <f>QUOTIENT(739268734170445,1000000)</f>
        <v>739268734</v>
      </c>
      <c r="E1212" s="63">
        <f>QUOTIENT(266282142398520,1000000)</f>
        <v>266282142</v>
      </c>
      <c r="F1212" s="64">
        <f>QUOTIENT(238353255151299,1000000)</f>
        <v>238353255</v>
      </c>
      <c r="G1212" s="64">
        <f>QUOTIENT(224407206868841,1000000)</f>
        <v>224407206</v>
      </c>
      <c r="H1212" s="65">
        <f>QUOTIENT(10226129751783,1000000)</f>
        <v>10226129</v>
      </c>
    </row>
    <row r="1213" spans="1:8" ht="21.75" customHeight="1" x14ac:dyDescent="0.15">
      <c r="A1213" s="250"/>
      <c r="B1213" s="66" t="s">
        <v>36</v>
      </c>
      <c r="C1213" s="67">
        <v>18</v>
      </c>
      <c r="D1213" s="68">
        <f>QUOTIENT(108985311500,1000000)</f>
        <v>108985</v>
      </c>
      <c r="E1213" s="68">
        <f>QUOTIENT(29550476000,1000000)</f>
        <v>29550</v>
      </c>
      <c r="F1213" s="69">
        <f>QUOTIENT(77529341500,1000000)</f>
        <v>77529</v>
      </c>
      <c r="G1213" s="69">
        <f>QUOTIENT(1900593000,1000000)</f>
        <v>1900</v>
      </c>
      <c r="H1213" s="70">
        <f>QUOTIENT(4901000,1000000)</f>
        <v>4</v>
      </c>
    </row>
    <row r="1214" spans="1:8" ht="21.75" customHeight="1" x14ac:dyDescent="0.15">
      <c r="A1214" s="250"/>
      <c r="B1214" s="66" t="s">
        <v>35</v>
      </c>
      <c r="C1214" s="67">
        <v>98</v>
      </c>
      <c r="D1214" s="68">
        <f>QUOTIENT(0,1000000)</f>
        <v>0</v>
      </c>
      <c r="E1214" s="68">
        <f>QUOTIENT(0,1000000)</f>
        <v>0</v>
      </c>
      <c r="F1214" s="69">
        <f>QUOTIENT(0,1000000)</f>
        <v>0</v>
      </c>
      <c r="G1214" s="69">
        <f>QUOTIENT(0,1000000)</f>
        <v>0</v>
      </c>
      <c r="H1214" s="70">
        <f>QUOTIENT(0,1000000)</f>
        <v>0</v>
      </c>
    </row>
    <row r="1215" spans="1:8" ht="21.75" customHeight="1" x14ac:dyDescent="0.15">
      <c r="A1215" s="250"/>
      <c r="B1215" s="71" t="s">
        <v>34</v>
      </c>
      <c r="C1215" s="72">
        <v>1</v>
      </c>
      <c r="D1215" s="73">
        <f>QUOTIENT(171389724000,1000000)</f>
        <v>171389</v>
      </c>
      <c r="E1215" s="73">
        <f>QUOTIENT(127207542000,1000000)</f>
        <v>127207</v>
      </c>
      <c r="F1215" s="74">
        <f>QUOTIENT(8397642000,1000000)</f>
        <v>8397</v>
      </c>
      <c r="G1215" s="74">
        <f>QUOTIENT(31504044000,1000000)</f>
        <v>31504</v>
      </c>
      <c r="H1215" s="75">
        <f>QUOTIENT(4280496000,1000000)</f>
        <v>4280</v>
      </c>
    </row>
    <row r="1216" spans="1:8" ht="21.75" customHeight="1" x14ac:dyDescent="0.15">
      <c r="A1216" s="250"/>
      <c r="B1216" s="66" t="s">
        <v>33</v>
      </c>
      <c r="C1216" s="67">
        <v>68</v>
      </c>
      <c r="D1216" s="68">
        <f>QUOTIENT(16568487201700,1000000)</f>
        <v>16568487</v>
      </c>
      <c r="E1216" s="68">
        <f>QUOTIENT(4159538698650,1000000)</f>
        <v>4159538</v>
      </c>
      <c r="F1216" s="69">
        <f>QUOTIENT(4700442551500,1000000)</f>
        <v>4700442</v>
      </c>
      <c r="G1216" s="69">
        <f>QUOTIENT(7524515852150,1000000)</f>
        <v>7524515</v>
      </c>
      <c r="H1216" s="70">
        <f>QUOTIENT(183990099400,1000000)</f>
        <v>183990</v>
      </c>
    </row>
    <row r="1217" spans="1:8" ht="21.75" customHeight="1" x14ac:dyDescent="0.15">
      <c r="A1217" s="250"/>
      <c r="B1217" s="76" t="s">
        <v>32</v>
      </c>
      <c r="C1217" s="67">
        <v>208</v>
      </c>
      <c r="D1217" s="68">
        <f>QUOTIENT(60422578169673,1000000)</f>
        <v>60422578</v>
      </c>
      <c r="E1217" s="68">
        <f>QUOTIENT(4794109233308,1000000)</f>
        <v>4794109</v>
      </c>
      <c r="F1217" s="69">
        <f>QUOTIENT(1627593465176,1000000)</f>
        <v>1627593</v>
      </c>
      <c r="G1217" s="69">
        <f>QUOTIENT(53787802511261,1000000)</f>
        <v>53787802</v>
      </c>
      <c r="H1217" s="70">
        <f>QUOTIENT(213072959927,1000000)</f>
        <v>213072</v>
      </c>
    </row>
    <row r="1218" spans="1:8" ht="21.75" customHeight="1" x14ac:dyDescent="0.15">
      <c r="A1218" s="251"/>
      <c r="B1218" s="77" t="s">
        <v>31</v>
      </c>
      <c r="C1218" s="72">
        <v>44</v>
      </c>
      <c r="D1218" s="73">
        <f>QUOTIENT(424099324016,1000000)</f>
        <v>424099</v>
      </c>
      <c r="E1218" s="73">
        <f>QUOTIENT(322264121130,1000000)</f>
        <v>322264</v>
      </c>
      <c r="F1218" s="74">
        <f>QUOTIENT(14439806341,1000000)</f>
        <v>14439</v>
      </c>
      <c r="G1218" s="74">
        <f>QUOTIENT(73648437600,1000000)</f>
        <v>73648</v>
      </c>
      <c r="H1218" s="75">
        <f>QUOTIENT(13746958945,1000000)</f>
        <v>13746</v>
      </c>
    </row>
    <row r="1219" spans="1:8" ht="21.75" customHeight="1" x14ac:dyDescent="0.15">
      <c r="A1219" s="30" t="s">
        <v>30</v>
      </c>
      <c r="B1219" s="78" t="s">
        <v>29</v>
      </c>
      <c r="C1219" s="79">
        <v>27</v>
      </c>
      <c r="D1219" s="80">
        <f>QUOTIENT(117248403598,1000000)</f>
        <v>117248</v>
      </c>
      <c r="E1219" s="80">
        <f>QUOTIENT(101497756884,1000000)</f>
        <v>101497</v>
      </c>
      <c r="F1219" s="81">
        <f>QUOTIENT(1537106451,1000000)</f>
        <v>1537</v>
      </c>
      <c r="G1219" s="81">
        <f>QUOTIENT(344934360,1000000)</f>
        <v>344</v>
      </c>
      <c r="H1219" s="82">
        <f>QUOTIENT(13868605902,1000000)</f>
        <v>13868</v>
      </c>
    </row>
    <row r="1220" spans="1:8" ht="21.75" customHeight="1" x14ac:dyDescent="0.15">
      <c r="A1220" s="252" t="s">
        <v>28</v>
      </c>
      <c r="B1220" s="17" t="s">
        <v>27</v>
      </c>
      <c r="C1220" s="16">
        <v>3374</v>
      </c>
      <c r="D1220" s="83">
        <f>QUOTIENT(64834201570000,1000000)</f>
        <v>64834201</v>
      </c>
      <c r="E1220" s="83">
        <f>QUOTIENT(9890634800000,1000000)</f>
        <v>9890634</v>
      </c>
      <c r="F1220" s="84">
        <f>QUOTIENT(29737836710000,1000000)</f>
        <v>29737836</v>
      </c>
      <c r="G1220" s="84">
        <f>QUOTIENT(25089188030000,1000000)</f>
        <v>25089188</v>
      </c>
      <c r="H1220" s="85">
        <f>QUOTIENT(116542030000,1000000)</f>
        <v>116542</v>
      </c>
    </row>
    <row r="1221" spans="1:8" ht="21.75" customHeight="1" x14ac:dyDescent="0.15">
      <c r="A1221" s="250"/>
      <c r="B1221" s="23" t="s">
        <v>26</v>
      </c>
      <c r="C1221" s="22">
        <v>3573</v>
      </c>
      <c r="D1221" s="86">
        <f>QUOTIENT(15385479499000,1000000)</f>
        <v>15385479</v>
      </c>
      <c r="E1221" s="86">
        <f>QUOTIENT(485285894000,1000000)</f>
        <v>485285</v>
      </c>
      <c r="F1221" s="87">
        <f>QUOTIENT(10264228802000,1000000)</f>
        <v>10264228</v>
      </c>
      <c r="G1221" s="87">
        <f>QUOTIENT(4625117803000,1000000)</f>
        <v>4625117</v>
      </c>
      <c r="H1221" s="88">
        <f>QUOTIENT(10847000000,1000000)</f>
        <v>10847</v>
      </c>
    </row>
    <row r="1222" spans="1:8" ht="21.75" customHeight="1" x14ac:dyDescent="0.15">
      <c r="A1222" s="250"/>
      <c r="B1222" s="24" t="s">
        <v>25</v>
      </c>
      <c r="C1222" s="22">
        <v>586</v>
      </c>
      <c r="D1222" s="86">
        <f>QUOTIENT(24104680000000,1000000)</f>
        <v>24104680</v>
      </c>
      <c r="E1222" s="86">
        <f>QUOTIENT(1753814300000,1000000)</f>
        <v>1753814</v>
      </c>
      <c r="F1222" s="87">
        <f>QUOTIENT(10505582700000,1000000)</f>
        <v>10505582</v>
      </c>
      <c r="G1222" s="87">
        <f>QUOTIENT(11775369000000,1000000)</f>
        <v>11775369</v>
      </c>
      <c r="H1222" s="88">
        <f>QUOTIENT(69914000000,1000000)</f>
        <v>69914</v>
      </c>
    </row>
    <row r="1223" spans="1:8" ht="21.75" customHeight="1" x14ac:dyDescent="0.15">
      <c r="A1223" s="250"/>
      <c r="B1223" s="23" t="s">
        <v>24</v>
      </c>
      <c r="C1223" s="22">
        <v>2073</v>
      </c>
      <c r="D1223" s="86">
        <f>QUOTIENT(57928700000000,1000000)</f>
        <v>57928700</v>
      </c>
      <c r="E1223" s="86">
        <f>QUOTIENT(7086513700000,1000000)</f>
        <v>7086513</v>
      </c>
      <c r="F1223" s="87">
        <f>QUOTIENT(19486456000000,1000000)</f>
        <v>19486456</v>
      </c>
      <c r="G1223" s="87">
        <f>QUOTIENT(31351480300000,1000000)</f>
        <v>31351480</v>
      </c>
      <c r="H1223" s="88">
        <f>QUOTIENT(4250000000,1000000)</f>
        <v>4250</v>
      </c>
    </row>
    <row r="1224" spans="1:8" ht="21.75" customHeight="1" x14ac:dyDescent="0.15">
      <c r="A1224" s="250"/>
      <c r="B1224" s="23" t="s">
        <v>23</v>
      </c>
      <c r="C1224" s="22">
        <v>473</v>
      </c>
      <c r="D1224" s="86">
        <f>QUOTIENT(4933198000000,1000000)</f>
        <v>4933198</v>
      </c>
      <c r="E1224" s="86">
        <f>QUOTIENT(343374300000,1000000)</f>
        <v>343374</v>
      </c>
      <c r="F1224" s="87">
        <f>QUOTIENT(98428100000,1000000)</f>
        <v>98428</v>
      </c>
      <c r="G1224" s="87">
        <f>QUOTIENT(4491395600000,1000000)</f>
        <v>4491395</v>
      </c>
      <c r="H1224" s="88">
        <f>QUOTIENT(0,1000000)</f>
        <v>0</v>
      </c>
    </row>
    <row r="1225" spans="1:8" ht="21.75" customHeight="1" x14ac:dyDescent="0.15">
      <c r="A1225" s="250"/>
      <c r="B1225" s="23" t="s">
        <v>22</v>
      </c>
      <c r="C1225" s="22">
        <v>158</v>
      </c>
      <c r="D1225" s="86">
        <f>QUOTIENT(1296300000000,1000000)</f>
        <v>1296300</v>
      </c>
      <c r="E1225" s="86">
        <f>QUOTIENT(316970000000,1000000)</f>
        <v>316970</v>
      </c>
      <c r="F1225" s="87">
        <f>QUOTIENT(456100000000,1000000)</f>
        <v>456100</v>
      </c>
      <c r="G1225" s="87">
        <f>QUOTIENT(523230000000,1000000)</f>
        <v>523230</v>
      </c>
      <c r="H1225" s="88">
        <f>QUOTIENT(0,1000000)</f>
        <v>0</v>
      </c>
    </row>
    <row r="1226" spans="1:8" ht="21.75" customHeight="1" x14ac:dyDescent="0.15">
      <c r="A1226" s="250"/>
      <c r="B1226" s="23" t="s">
        <v>21</v>
      </c>
      <c r="C1226" s="22">
        <v>23</v>
      </c>
      <c r="D1226" s="86">
        <f>QUOTIENT(151996000000,1000000)</f>
        <v>151996</v>
      </c>
      <c r="E1226" s="86">
        <f>QUOTIENT(115197000000,1000000)</f>
        <v>115197</v>
      </c>
      <c r="F1226" s="87">
        <f>QUOTIENT(21793000000,1000000)</f>
        <v>21793</v>
      </c>
      <c r="G1226" s="87">
        <f>QUOTIENT(15006000000,1000000)</f>
        <v>15006</v>
      </c>
      <c r="H1226" s="88">
        <f>QUOTIENT(0,1000000)</f>
        <v>0</v>
      </c>
    </row>
    <row r="1227" spans="1:8" ht="21.75" customHeight="1" x14ac:dyDescent="0.15">
      <c r="A1227" s="250"/>
      <c r="B1227" s="23" t="s">
        <v>20</v>
      </c>
      <c r="C1227" s="22">
        <v>0</v>
      </c>
      <c r="D1227" s="86">
        <f>QUOTIENT(0,1000000)</f>
        <v>0</v>
      </c>
      <c r="E1227" s="86">
        <f>QUOTIENT(0,1000000)</f>
        <v>0</v>
      </c>
      <c r="F1227" s="87">
        <f>QUOTIENT(0,1000000)</f>
        <v>0</v>
      </c>
      <c r="G1227" s="87">
        <f>QUOTIENT(0,1000000)</f>
        <v>0</v>
      </c>
      <c r="H1227" s="88">
        <f>QUOTIENT(0,1000000)</f>
        <v>0</v>
      </c>
    </row>
    <row r="1228" spans="1:8" ht="21.75" customHeight="1" x14ac:dyDescent="0.15">
      <c r="A1228" s="250"/>
      <c r="B1228" s="23" t="s">
        <v>19</v>
      </c>
      <c r="C1228" s="22">
        <v>217</v>
      </c>
      <c r="D1228" s="86">
        <f>QUOTIENT(5508700000000,1000000)</f>
        <v>5508700</v>
      </c>
      <c r="E1228" s="86">
        <f>QUOTIENT(614130000000,1000000)</f>
        <v>614130</v>
      </c>
      <c r="F1228" s="87">
        <f>QUOTIENT(2669690000000,1000000)</f>
        <v>2669690</v>
      </c>
      <c r="G1228" s="87">
        <f>QUOTIENT(2060930000000,1000000)</f>
        <v>2060930</v>
      </c>
      <c r="H1228" s="88">
        <f>QUOTIENT(163950000000,1000000)</f>
        <v>163950</v>
      </c>
    </row>
    <row r="1229" spans="1:8" ht="21.75" customHeight="1" x14ac:dyDescent="0.15">
      <c r="A1229" s="250"/>
      <c r="B1229" s="23" t="s">
        <v>18</v>
      </c>
      <c r="C1229" s="22">
        <v>3935</v>
      </c>
      <c r="D1229" s="86">
        <f>QUOTIENT(81662590500000,1000000)</f>
        <v>81662590</v>
      </c>
      <c r="E1229" s="86">
        <f>QUOTIENT(19388312300000,1000000)</f>
        <v>19388312</v>
      </c>
      <c r="F1229" s="87">
        <f>QUOTIENT(31355892200000,1000000)</f>
        <v>31355892</v>
      </c>
      <c r="G1229" s="87">
        <f>QUOTIENT(30361875900000,1000000)</f>
        <v>30361875</v>
      </c>
      <c r="H1229" s="88">
        <f>QUOTIENT(556510100000,1000000)</f>
        <v>556510</v>
      </c>
    </row>
    <row r="1230" spans="1:8" ht="21.75" customHeight="1" x14ac:dyDescent="0.15">
      <c r="A1230" s="250"/>
      <c r="B1230" s="23" t="s">
        <v>17</v>
      </c>
      <c r="C1230" s="22">
        <v>690</v>
      </c>
      <c r="D1230" s="86">
        <f>QUOTIENT(16135360000000,1000000)</f>
        <v>16135360</v>
      </c>
      <c r="E1230" s="86">
        <f>QUOTIENT(3794953700000,1000000)</f>
        <v>3794953</v>
      </c>
      <c r="F1230" s="87">
        <f>QUOTIENT(6605342400000,1000000)</f>
        <v>6605342</v>
      </c>
      <c r="G1230" s="87">
        <f>QUOTIENT(5682772800000,1000000)</f>
        <v>5682772</v>
      </c>
      <c r="H1230" s="88">
        <f>QUOTIENT(52291100000,1000000)</f>
        <v>52291</v>
      </c>
    </row>
    <row r="1231" spans="1:8" ht="21.75" customHeight="1" x14ac:dyDescent="0.15">
      <c r="A1231" s="250"/>
      <c r="B1231" s="23" t="s">
        <v>16</v>
      </c>
      <c r="C1231" s="22">
        <v>63502</v>
      </c>
      <c r="D1231" s="86">
        <f>QUOTIENT(16057261429000,1000000)</f>
        <v>16057261</v>
      </c>
      <c r="E1231" s="86">
        <f>QUOTIENT(4607020967000,1000000)</f>
        <v>4607020</v>
      </c>
      <c r="F1231" s="87">
        <f>QUOTIENT(5037632208000,1000000)</f>
        <v>5037632</v>
      </c>
      <c r="G1231" s="87">
        <f>QUOTIENT(6407918254000,1000000)</f>
        <v>6407918</v>
      </c>
      <c r="H1231" s="88">
        <f>QUOTIENT(4690000000,1000000)</f>
        <v>4690</v>
      </c>
    </row>
    <row r="1232" spans="1:8" ht="21.75" customHeight="1" x14ac:dyDescent="0.15">
      <c r="A1232" s="250"/>
      <c r="B1232" s="23" t="s">
        <v>15</v>
      </c>
      <c r="C1232" s="22">
        <v>536</v>
      </c>
      <c r="D1232" s="86">
        <f>QUOTIENT(4132126796000,1000000)</f>
        <v>4132126</v>
      </c>
      <c r="E1232" s="86">
        <f>QUOTIENT(3560363367000,1000000)</f>
        <v>3560363</v>
      </c>
      <c r="F1232" s="87">
        <f>QUOTIENT(461165895000,1000000)</f>
        <v>461165</v>
      </c>
      <c r="G1232" s="87">
        <f>QUOTIENT(110352534000,1000000)</f>
        <v>110352</v>
      </c>
      <c r="H1232" s="88">
        <f>QUOTIENT(245000000,1000000)</f>
        <v>245</v>
      </c>
    </row>
    <row r="1233" spans="1:8" ht="21.75" customHeight="1" x14ac:dyDescent="0.15">
      <c r="A1233" s="250"/>
      <c r="B1233" s="23" t="s">
        <v>14</v>
      </c>
      <c r="C1233" s="22">
        <v>37</v>
      </c>
      <c r="D1233" s="86">
        <f>QUOTIENT(112700000000,1000000)</f>
        <v>112700</v>
      </c>
      <c r="E1233" s="86">
        <f>QUOTIENT(23500000000,1000000)</f>
        <v>23500</v>
      </c>
      <c r="F1233" s="87">
        <f>QUOTIENT(59200000000,1000000)</f>
        <v>59200</v>
      </c>
      <c r="G1233" s="87">
        <f>QUOTIENT(30000000000,1000000)</f>
        <v>30000</v>
      </c>
      <c r="H1233" s="88">
        <f>QUOTIENT(0,1000000)</f>
        <v>0</v>
      </c>
    </row>
    <row r="1234" spans="1:8" ht="21.75" customHeight="1" x14ac:dyDescent="0.15">
      <c r="A1234" s="250"/>
      <c r="B1234" s="23" t="s">
        <v>13</v>
      </c>
      <c r="C1234" s="22">
        <v>684</v>
      </c>
      <c r="D1234" s="86">
        <f>QUOTIENT(2899843127000,1000000)</f>
        <v>2899843</v>
      </c>
      <c r="E1234" s="86">
        <f>QUOTIENT(213399677000,1000000)</f>
        <v>213399</v>
      </c>
      <c r="F1234" s="87">
        <f>QUOTIENT(1564578660000,1000000)</f>
        <v>1564578</v>
      </c>
      <c r="G1234" s="87">
        <f>QUOTIENT(1121864790000,1000000)</f>
        <v>1121864</v>
      </c>
      <c r="H1234" s="88">
        <f>QUOTIENT(0,1000000)</f>
        <v>0</v>
      </c>
    </row>
    <row r="1235" spans="1:8" ht="21.75" customHeight="1" x14ac:dyDescent="0.15">
      <c r="A1235" s="250"/>
      <c r="B1235" s="23" t="s">
        <v>12</v>
      </c>
      <c r="C1235" s="22">
        <v>254</v>
      </c>
      <c r="D1235" s="86">
        <f>QUOTIENT(6867000000000,1000000)</f>
        <v>6867000</v>
      </c>
      <c r="E1235" s="86">
        <f>QUOTIENT(939074000000,1000000)</f>
        <v>939074</v>
      </c>
      <c r="F1235" s="87">
        <f>QUOTIENT(2211754000000,1000000)</f>
        <v>2211754</v>
      </c>
      <c r="G1235" s="87">
        <f>QUOTIENT(3687872000000,1000000)</f>
        <v>3687872</v>
      </c>
      <c r="H1235" s="88">
        <f>QUOTIENT(28300000000,1000000)</f>
        <v>28300</v>
      </c>
    </row>
    <row r="1236" spans="1:8" ht="21.75" customHeight="1" x14ac:dyDescent="0.15">
      <c r="A1236" s="250"/>
      <c r="B1236" s="23" t="s">
        <v>11</v>
      </c>
      <c r="C1236" s="22">
        <v>63</v>
      </c>
      <c r="D1236" s="86">
        <f>QUOTIENT(1356750000000,1000000)</f>
        <v>1356750</v>
      </c>
      <c r="E1236" s="86">
        <f>QUOTIENT(128500000000,1000000)</f>
        <v>128500</v>
      </c>
      <c r="F1236" s="87">
        <f>QUOTIENT(585850000000,1000000)</f>
        <v>585850</v>
      </c>
      <c r="G1236" s="87">
        <f>QUOTIENT(642400000000,1000000)</f>
        <v>642400</v>
      </c>
      <c r="H1236" s="88">
        <f>QUOTIENT(0,1000000)</f>
        <v>0</v>
      </c>
    </row>
    <row r="1237" spans="1:8" ht="21.75" customHeight="1" x14ac:dyDescent="0.15">
      <c r="A1237" s="250"/>
      <c r="B1237" s="23" t="s">
        <v>10</v>
      </c>
      <c r="C1237" s="22">
        <v>0</v>
      </c>
      <c r="D1237" s="86">
        <f t="shared" ref="D1237:G1239" si="32">QUOTIENT(0,1000000)</f>
        <v>0</v>
      </c>
      <c r="E1237" s="86">
        <f t="shared" si="32"/>
        <v>0</v>
      </c>
      <c r="F1237" s="87">
        <f t="shared" si="32"/>
        <v>0</v>
      </c>
      <c r="G1237" s="87">
        <f t="shared" si="32"/>
        <v>0</v>
      </c>
      <c r="H1237" s="88">
        <f>QUOTIENT(0,1000000)</f>
        <v>0</v>
      </c>
    </row>
    <row r="1238" spans="1:8" ht="21.75" customHeight="1" x14ac:dyDescent="0.15">
      <c r="A1238" s="250"/>
      <c r="B1238" s="23" t="s">
        <v>9</v>
      </c>
      <c r="C1238" s="22">
        <v>0</v>
      </c>
      <c r="D1238" s="86">
        <f t="shared" si="32"/>
        <v>0</v>
      </c>
      <c r="E1238" s="86">
        <f t="shared" si="32"/>
        <v>0</v>
      </c>
      <c r="F1238" s="87">
        <f t="shared" si="32"/>
        <v>0</v>
      </c>
      <c r="G1238" s="87">
        <f t="shared" si="32"/>
        <v>0</v>
      </c>
      <c r="H1238" s="88">
        <f>QUOTIENT(0,1000000)</f>
        <v>0</v>
      </c>
    </row>
    <row r="1239" spans="1:8" ht="21.75" customHeight="1" x14ac:dyDescent="0.15">
      <c r="A1239" s="250"/>
      <c r="B1239" s="23" t="s">
        <v>8</v>
      </c>
      <c r="C1239" s="22">
        <v>0</v>
      </c>
      <c r="D1239" s="86">
        <f t="shared" si="32"/>
        <v>0</v>
      </c>
      <c r="E1239" s="86">
        <f t="shared" si="32"/>
        <v>0</v>
      </c>
      <c r="F1239" s="87">
        <f t="shared" si="32"/>
        <v>0</v>
      </c>
      <c r="G1239" s="87">
        <f t="shared" si="32"/>
        <v>0</v>
      </c>
      <c r="H1239" s="88">
        <f>QUOTIENT(0,1000000)</f>
        <v>0</v>
      </c>
    </row>
    <row r="1240" spans="1:8" ht="21.75" customHeight="1" x14ac:dyDescent="0.15">
      <c r="A1240" s="251"/>
      <c r="B1240" s="23" t="s">
        <v>7</v>
      </c>
      <c r="C1240" s="22">
        <v>37</v>
      </c>
      <c r="D1240" s="86">
        <f>QUOTIENT(18014000000,1000000)</f>
        <v>18014</v>
      </c>
      <c r="E1240" s="86">
        <f>QUOTIENT(584000000,1000000)</f>
        <v>584</v>
      </c>
      <c r="F1240" s="87">
        <f>QUOTIENT(14000000000,1000000)</f>
        <v>14000</v>
      </c>
      <c r="G1240" s="87">
        <f>QUOTIENT(3430000000,1000000)</f>
        <v>3430</v>
      </c>
      <c r="H1240" s="88">
        <f>QUOTIENT(0,1000000)</f>
        <v>0</v>
      </c>
    </row>
    <row r="1241" spans="1:8" ht="21.75" customHeight="1" x14ac:dyDescent="0.15">
      <c r="A1241" s="18" t="s">
        <v>6</v>
      </c>
      <c r="B1241" s="17" t="s">
        <v>5</v>
      </c>
      <c r="C1241" s="16">
        <v>3257</v>
      </c>
      <c r="D1241" s="80">
        <v>25096455</v>
      </c>
      <c r="E1241" s="80">
        <v>867500</v>
      </c>
      <c r="F1241" s="81">
        <v>14685166</v>
      </c>
      <c r="G1241" s="81">
        <v>7850089</v>
      </c>
      <c r="H1241" s="82">
        <v>1693700</v>
      </c>
    </row>
    <row r="1242" spans="1:8" ht="21.75" customHeight="1" x14ac:dyDescent="0.15">
      <c r="A1242" s="252" t="s">
        <v>4</v>
      </c>
      <c r="B1242" s="12" t="s">
        <v>3</v>
      </c>
      <c r="C1242" s="11">
        <v>5712</v>
      </c>
      <c r="D1242" s="89">
        <v>99642026</v>
      </c>
      <c r="E1242" s="89">
        <v>62839228</v>
      </c>
      <c r="F1242" s="90">
        <v>16965464</v>
      </c>
      <c r="G1242" s="90">
        <v>12388524</v>
      </c>
      <c r="H1242" s="91">
        <v>7448809</v>
      </c>
    </row>
    <row r="1243" spans="1:8" ht="21.75" customHeight="1" thickBot="1" x14ac:dyDescent="0.2">
      <c r="A1243" s="253"/>
      <c r="B1243" s="7" t="s">
        <v>1153</v>
      </c>
      <c r="C1243" s="6">
        <v>8132</v>
      </c>
      <c r="D1243" s="92" t="s">
        <v>2178</v>
      </c>
      <c r="E1243" s="92" t="s">
        <v>2178</v>
      </c>
      <c r="F1243" s="92" t="s">
        <v>2178</v>
      </c>
      <c r="G1243" s="92" t="s">
        <v>2178</v>
      </c>
      <c r="H1243" s="93" t="s">
        <v>2178</v>
      </c>
    </row>
    <row r="1244" spans="1:8" ht="18" customHeight="1" x14ac:dyDescent="0.15">
      <c r="A1244" s="3" t="s">
        <v>1155</v>
      </c>
      <c r="B1244" s="2"/>
      <c r="C1244" s="2"/>
      <c r="D1244" s="2"/>
      <c r="E1244" s="2"/>
      <c r="F1244" s="2"/>
      <c r="G1244" s="2"/>
      <c r="H1244" s="2"/>
    </row>
    <row r="1245" spans="1:8" ht="18" customHeight="1" x14ac:dyDescent="0.15">
      <c r="A1245" s="3" t="s">
        <v>2587</v>
      </c>
      <c r="B1245" s="2"/>
      <c r="C1245" s="2"/>
      <c r="D1245" s="2"/>
      <c r="E1245" s="2"/>
      <c r="F1245" s="2"/>
      <c r="G1245" s="2"/>
      <c r="H1245" s="2"/>
    </row>
    <row r="1246" spans="1:8" ht="18" customHeight="1" x14ac:dyDescent="0.15">
      <c r="A1246" s="3" t="s">
        <v>1156</v>
      </c>
      <c r="B1246" s="2"/>
      <c r="C1246" s="2"/>
      <c r="D1246" s="2"/>
      <c r="E1246" s="2"/>
      <c r="F1246" s="2"/>
      <c r="G1246" s="2"/>
      <c r="H1246" s="2"/>
    </row>
    <row r="1247" spans="1:8" ht="18" customHeight="1" x14ac:dyDescent="0.15">
      <c r="A1247" s="3" t="s">
        <v>2495</v>
      </c>
      <c r="B1247" s="2"/>
      <c r="C1247" s="2"/>
      <c r="D1247" s="2"/>
      <c r="E1247" s="2"/>
      <c r="F1247" s="2"/>
      <c r="G1247" s="2"/>
      <c r="H1247" s="2"/>
    </row>
    <row r="1248" spans="1:8" ht="24" x14ac:dyDescent="0.15">
      <c r="A1248" s="230" t="s">
        <v>2492</v>
      </c>
      <c r="B1248" s="230"/>
      <c r="C1248" s="230"/>
      <c r="D1248" s="230"/>
      <c r="E1248" s="230"/>
      <c r="F1248" s="230"/>
      <c r="G1248" s="230"/>
      <c r="H1248" s="230"/>
    </row>
    <row r="1249" spans="1:8" ht="18" customHeight="1" x14ac:dyDescent="0.15">
      <c r="A1249" s="231"/>
      <c r="B1249" s="231"/>
      <c r="C1249" s="231"/>
      <c r="D1249" s="231"/>
      <c r="E1249" s="231"/>
      <c r="F1249" s="231"/>
      <c r="G1249" s="231"/>
      <c r="H1249" s="231"/>
    </row>
    <row r="1250" spans="1:8" thickBot="1" x14ac:dyDescent="0.2">
      <c r="A1250" s="58" t="s">
        <v>48</v>
      </c>
    </row>
    <row r="1251" spans="1:8" ht="18" customHeight="1" x14ac:dyDescent="0.15">
      <c r="A1251" s="232" t="s">
        <v>47</v>
      </c>
      <c r="B1251" s="235" t="s">
        <v>46</v>
      </c>
      <c r="C1251" s="238" t="s">
        <v>45</v>
      </c>
      <c r="D1251" s="241" t="s">
        <v>44</v>
      </c>
      <c r="E1251" s="125"/>
      <c r="F1251" s="56"/>
      <c r="G1251" s="56"/>
      <c r="H1251" s="55"/>
    </row>
    <row r="1252" spans="1:8" ht="18" customHeight="1" x14ac:dyDescent="0.15">
      <c r="A1252" s="233"/>
      <c r="B1252" s="236"/>
      <c r="C1252" s="239"/>
      <c r="D1252" s="242"/>
      <c r="E1252" s="244" t="s">
        <v>43</v>
      </c>
      <c r="F1252" s="246" t="s">
        <v>42</v>
      </c>
      <c r="G1252" s="246" t="s">
        <v>41</v>
      </c>
      <c r="H1252" s="248" t="s">
        <v>40</v>
      </c>
    </row>
    <row r="1253" spans="1:8" ht="18" customHeight="1" thickBot="1" x14ac:dyDescent="0.2">
      <c r="A1253" s="234"/>
      <c r="B1253" s="237"/>
      <c r="C1253" s="240"/>
      <c r="D1253" s="243"/>
      <c r="E1253" s="245"/>
      <c r="F1253" s="247"/>
      <c r="G1253" s="247"/>
      <c r="H1253" s="249"/>
    </row>
    <row r="1254" spans="1:8" s="60" customFormat="1" ht="18" customHeight="1" thickTop="1" x14ac:dyDescent="0.15">
      <c r="A1254" s="126"/>
      <c r="B1254" s="127"/>
      <c r="C1254" s="52"/>
      <c r="D1254" s="51" t="s">
        <v>39</v>
      </c>
      <c r="E1254" s="50" t="s">
        <v>39</v>
      </c>
      <c r="F1254" s="49" t="s">
        <v>39</v>
      </c>
      <c r="G1254" s="49" t="s">
        <v>39</v>
      </c>
      <c r="H1254" s="48" t="s">
        <v>39</v>
      </c>
    </row>
    <row r="1255" spans="1:8" ht="21.75" customHeight="1" x14ac:dyDescent="0.15">
      <c r="A1255" s="250" t="s">
        <v>38</v>
      </c>
      <c r="B1255" s="61" t="s">
        <v>37</v>
      </c>
      <c r="C1255" s="62">
        <v>3891</v>
      </c>
      <c r="D1255" s="63">
        <f>QUOTIENT(769732127749740,1000000)</f>
        <v>769732127</v>
      </c>
      <c r="E1255" s="63">
        <f>QUOTIENT(279557584065986,1000000)</f>
        <v>279557584</v>
      </c>
      <c r="F1255" s="64">
        <f>QUOTIENT(245425602509779,1000000)</f>
        <v>245425602</v>
      </c>
      <c r="G1255" s="64">
        <f>QUOTIENT(234145515671866,1000000)</f>
        <v>234145515</v>
      </c>
      <c r="H1255" s="65">
        <f>QUOTIENT(10603425502108,1000000)</f>
        <v>10603425</v>
      </c>
    </row>
    <row r="1256" spans="1:8" ht="21.75" customHeight="1" x14ac:dyDescent="0.15">
      <c r="A1256" s="250"/>
      <c r="B1256" s="66" t="s">
        <v>36</v>
      </c>
      <c r="C1256" s="67">
        <v>18</v>
      </c>
      <c r="D1256" s="68">
        <f>QUOTIENT(107759846000,1000000)</f>
        <v>107759</v>
      </c>
      <c r="E1256" s="68">
        <f>QUOTIENT(28802071500,1000000)</f>
        <v>28802</v>
      </c>
      <c r="F1256" s="69">
        <f>QUOTIENT(77058829500,1000000)</f>
        <v>77058</v>
      </c>
      <c r="G1256" s="69">
        <f>QUOTIENT(1893920000,1000000)</f>
        <v>1893</v>
      </c>
      <c r="H1256" s="70">
        <f>QUOTIENT(5025000,1000000)</f>
        <v>5</v>
      </c>
    </row>
    <row r="1257" spans="1:8" ht="21.75" customHeight="1" x14ac:dyDescent="0.15">
      <c r="A1257" s="250"/>
      <c r="B1257" s="66" t="s">
        <v>35</v>
      </c>
      <c r="C1257" s="67">
        <v>97</v>
      </c>
      <c r="D1257" s="68">
        <f>QUOTIENT(0,1000000)</f>
        <v>0</v>
      </c>
      <c r="E1257" s="68">
        <f>QUOTIENT(0,1000000)</f>
        <v>0</v>
      </c>
      <c r="F1257" s="69">
        <f>QUOTIENT(0,1000000)</f>
        <v>0</v>
      </c>
      <c r="G1257" s="69">
        <f>QUOTIENT(0,1000000)</f>
        <v>0</v>
      </c>
      <c r="H1257" s="70">
        <f>QUOTIENT(0,1000000)</f>
        <v>0</v>
      </c>
    </row>
    <row r="1258" spans="1:8" ht="21.75" customHeight="1" x14ac:dyDescent="0.15">
      <c r="A1258" s="250"/>
      <c r="B1258" s="71" t="s">
        <v>34</v>
      </c>
      <c r="C1258" s="72">
        <v>1</v>
      </c>
      <c r="D1258" s="73">
        <f>QUOTIENT(170469035400,1000000)</f>
        <v>170469</v>
      </c>
      <c r="E1258" s="73">
        <f>QUOTIENT(126524195700,1000000)</f>
        <v>126524</v>
      </c>
      <c r="F1258" s="74">
        <f>QUOTIENT(8352530700,1000000)</f>
        <v>8352</v>
      </c>
      <c r="G1258" s="74">
        <f>QUOTIENT(31334807400,1000000)</f>
        <v>31334</v>
      </c>
      <c r="H1258" s="75">
        <f>QUOTIENT(4257501600,1000000)</f>
        <v>4257</v>
      </c>
    </row>
    <row r="1259" spans="1:8" ht="21.75" customHeight="1" x14ac:dyDescent="0.15">
      <c r="A1259" s="250"/>
      <c r="B1259" s="66" t="s">
        <v>33</v>
      </c>
      <c r="C1259" s="67">
        <v>69</v>
      </c>
      <c r="D1259" s="68">
        <f>QUOTIENT(17467379206100,1000000)</f>
        <v>17467379</v>
      </c>
      <c r="E1259" s="68">
        <f>QUOTIENT(4333786314260,1000000)</f>
        <v>4333786</v>
      </c>
      <c r="F1259" s="69">
        <f>QUOTIENT(5111046253800,1000000)</f>
        <v>5111046</v>
      </c>
      <c r="G1259" s="69">
        <f>QUOTIENT(7844157786600,1000000)</f>
        <v>7844157</v>
      </c>
      <c r="H1259" s="70">
        <f>QUOTIENT(178388851440,1000000)</f>
        <v>178388</v>
      </c>
    </row>
    <row r="1260" spans="1:8" ht="21.75" customHeight="1" x14ac:dyDescent="0.15">
      <c r="A1260" s="250"/>
      <c r="B1260" s="76" t="s">
        <v>32</v>
      </c>
      <c r="C1260" s="67">
        <v>212</v>
      </c>
      <c r="D1260" s="68">
        <f>QUOTIENT(62848600671543,1000000)</f>
        <v>62848600</v>
      </c>
      <c r="E1260" s="68">
        <f>QUOTIENT(5071410381030,1000000)</f>
        <v>5071410</v>
      </c>
      <c r="F1260" s="69">
        <f>QUOTIENT(1682301318520,1000000)</f>
        <v>1682301</v>
      </c>
      <c r="G1260" s="69">
        <f>QUOTIENT(55752629211897,1000000)</f>
        <v>55752629</v>
      </c>
      <c r="H1260" s="70">
        <f>QUOTIENT(342259760096,1000000)</f>
        <v>342259</v>
      </c>
    </row>
    <row r="1261" spans="1:8" ht="21.75" customHeight="1" x14ac:dyDescent="0.15">
      <c r="A1261" s="251"/>
      <c r="B1261" s="77" t="s">
        <v>31</v>
      </c>
      <c r="C1261" s="72">
        <v>44</v>
      </c>
      <c r="D1261" s="73">
        <f>QUOTIENT(464944971807,1000000)</f>
        <v>464944</v>
      </c>
      <c r="E1261" s="73">
        <f>QUOTIENT(354876747120,1000000)</f>
        <v>354876</v>
      </c>
      <c r="F1261" s="74">
        <f>QUOTIENT(19740490052,1000000)</f>
        <v>19740</v>
      </c>
      <c r="G1261" s="74">
        <f>QUOTIENT(74310791350,1000000)</f>
        <v>74310</v>
      </c>
      <c r="H1261" s="75">
        <f>QUOTIENT(16016943285,1000000)</f>
        <v>16016</v>
      </c>
    </row>
    <row r="1262" spans="1:8" ht="21.75" customHeight="1" x14ac:dyDescent="0.15">
      <c r="A1262" s="30" t="s">
        <v>30</v>
      </c>
      <c r="B1262" s="78" t="s">
        <v>29</v>
      </c>
      <c r="C1262" s="79">
        <v>28</v>
      </c>
      <c r="D1262" s="80">
        <f>QUOTIENT(115190584412,1000000)</f>
        <v>115190</v>
      </c>
      <c r="E1262" s="80">
        <f>QUOTIENT(100421096983,1000000)</f>
        <v>100421</v>
      </c>
      <c r="F1262" s="81">
        <f>QUOTIENT(664626026,1000000)</f>
        <v>664</v>
      </c>
      <c r="G1262" s="81">
        <f>QUOTIENT(326554680,1000000)</f>
        <v>326</v>
      </c>
      <c r="H1262" s="82">
        <f>QUOTIENT(13778306723,1000000)</f>
        <v>13778</v>
      </c>
    </row>
    <row r="1263" spans="1:8" ht="21.75" customHeight="1" x14ac:dyDescent="0.15">
      <c r="A1263" s="252" t="s">
        <v>28</v>
      </c>
      <c r="B1263" s="17" t="s">
        <v>27</v>
      </c>
      <c r="C1263" s="16">
        <v>3360</v>
      </c>
      <c r="D1263" s="83">
        <f>QUOTIENT(64509701570000,1000000)</f>
        <v>64509701</v>
      </c>
      <c r="E1263" s="83">
        <f>QUOTIENT(9760117090000,1000000)</f>
        <v>9760117</v>
      </c>
      <c r="F1263" s="84">
        <f>QUOTIENT(29469894860000,1000000)</f>
        <v>29469894</v>
      </c>
      <c r="G1263" s="84">
        <f>QUOTIENT(25162748590000,1000000)</f>
        <v>25162748</v>
      </c>
      <c r="H1263" s="85">
        <f>QUOTIENT(116941030000,1000000)</f>
        <v>116941</v>
      </c>
    </row>
    <row r="1264" spans="1:8" ht="21.75" customHeight="1" x14ac:dyDescent="0.15">
      <c r="A1264" s="250"/>
      <c r="B1264" s="23" t="s">
        <v>26</v>
      </c>
      <c r="C1264" s="22">
        <v>3571</v>
      </c>
      <c r="D1264" s="86">
        <f>QUOTIENT(15376819744000,1000000)</f>
        <v>15376819</v>
      </c>
      <c r="E1264" s="86">
        <f>QUOTIENT(507452494000,1000000)</f>
        <v>507452</v>
      </c>
      <c r="F1264" s="87">
        <f>QUOTIENT(10223112602000,1000000)</f>
        <v>10223112</v>
      </c>
      <c r="G1264" s="87">
        <f>QUOTIENT(4635407648000,1000000)</f>
        <v>4635407</v>
      </c>
      <c r="H1264" s="88">
        <f>QUOTIENT(10847000000,1000000)</f>
        <v>10847</v>
      </c>
    </row>
    <row r="1265" spans="1:8" ht="21.75" customHeight="1" x14ac:dyDescent="0.15">
      <c r="A1265" s="250"/>
      <c r="B1265" s="24" t="s">
        <v>25</v>
      </c>
      <c r="C1265" s="22">
        <v>588</v>
      </c>
      <c r="D1265" s="86">
        <f>QUOTIENT(24254680000000,1000000)</f>
        <v>24254680</v>
      </c>
      <c r="E1265" s="86">
        <f>QUOTIENT(1751504600000,1000000)</f>
        <v>1751504</v>
      </c>
      <c r="F1265" s="87">
        <f>QUOTIENT(10851413400000,1000000)</f>
        <v>10851413</v>
      </c>
      <c r="G1265" s="87">
        <f>QUOTIENT(11584713000000,1000000)</f>
        <v>11584713</v>
      </c>
      <c r="H1265" s="88">
        <f>QUOTIENT(67049000000,1000000)</f>
        <v>67049</v>
      </c>
    </row>
    <row r="1266" spans="1:8" ht="21.75" customHeight="1" x14ac:dyDescent="0.15">
      <c r="A1266" s="250"/>
      <c r="B1266" s="23" t="s">
        <v>24</v>
      </c>
      <c r="C1266" s="22">
        <v>2073</v>
      </c>
      <c r="D1266" s="86">
        <f>QUOTIENT(57753000000000,1000000)</f>
        <v>57753000</v>
      </c>
      <c r="E1266" s="86">
        <f>QUOTIENT(6997413700000,1000000)</f>
        <v>6997413</v>
      </c>
      <c r="F1266" s="87">
        <f>QUOTIENT(19496216000000,1000000)</f>
        <v>19496216</v>
      </c>
      <c r="G1266" s="87">
        <f>QUOTIENT(31255120300000,1000000)</f>
        <v>31255120</v>
      </c>
      <c r="H1266" s="88">
        <f>QUOTIENT(4250000000,1000000)</f>
        <v>4250</v>
      </c>
    </row>
    <row r="1267" spans="1:8" ht="21.75" customHeight="1" x14ac:dyDescent="0.15">
      <c r="A1267" s="250"/>
      <c r="B1267" s="23" t="s">
        <v>23</v>
      </c>
      <c r="C1267" s="22">
        <v>469</v>
      </c>
      <c r="D1267" s="86">
        <f>QUOTIENT(4896698000000,1000000)</f>
        <v>4896698</v>
      </c>
      <c r="E1267" s="86">
        <f>QUOTIENT(334414000000,1000000)</f>
        <v>334414</v>
      </c>
      <c r="F1267" s="87">
        <f>QUOTIENT(98428100000,1000000)</f>
        <v>98428</v>
      </c>
      <c r="G1267" s="87">
        <f>QUOTIENT(4463855900000,1000000)</f>
        <v>4463855</v>
      </c>
      <c r="H1267" s="88">
        <f>QUOTIENT(0,1000000)</f>
        <v>0</v>
      </c>
    </row>
    <row r="1268" spans="1:8" ht="21.75" customHeight="1" x14ac:dyDescent="0.15">
      <c r="A1268" s="250"/>
      <c r="B1268" s="23" t="s">
        <v>22</v>
      </c>
      <c r="C1268" s="22">
        <v>158</v>
      </c>
      <c r="D1268" s="86">
        <f>QUOTIENT(1296300000000,1000000)</f>
        <v>1296300</v>
      </c>
      <c r="E1268" s="86">
        <f>QUOTIENT(316470000000,1000000)</f>
        <v>316470</v>
      </c>
      <c r="F1268" s="87">
        <f>QUOTIENT(456100000000,1000000)</f>
        <v>456100</v>
      </c>
      <c r="G1268" s="87">
        <f>QUOTIENT(523730000000,1000000)</f>
        <v>523730</v>
      </c>
      <c r="H1268" s="88">
        <f>QUOTIENT(0,1000000)</f>
        <v>0</v>
      </c>
    </row>
    <row r="1269" spans="1:8" ht="21.75" customHeight="1" x14ac:dyDescent="0.15">
      <c r="A1269" s="250"/>
      <c r="B1269" s="23" t="s">
        <v>21</v>
      </c>
      <c r="C1269" s="22">
        <v>23</v>
      </c>
      <c r="D1269" s="86">
        <f>QUOTIENT(151996000000,1000000)</f>
        <v>151996</v>
      </c>
      <c r="E1269" s="86">
        <f>QUOTIENT(115197000000,1000000)</f>
        <v>115197</v>
      </c>
      <c r="F1269" s="87">
        <f>QUOTIENT(21793000000,1000000)</f>
        <v>21793</v>
      </c>
      <c r="G1269" s="87">
        <f>QUOTIENT(15006000000,1000000)</f>
        <v>15006</v>
      </c>
      <c r="H1269" s="88">
        <f>QUOTIENT(0,1000000)</f>
        <v>0</v>
      </c>
    </row>
    <row r="1270" spans="1:8" ht="21.75" customHeight="1" x14ac:dyDescent="0.15">
      <c r="A1270" s="250"/>
      <c r="B1270" s="23" t="s">
        <v>20</v>
      </c>
      <c r="C1270" s="22">
        <v>0</v>
      </c>
      <c r="D1270" s="86">
        <f>QUOTIENT(0,1000000)</f>
        <v>0</v>
      </c>
      <c r="E1270" s="86">
        <f>QUOTIENT(0,1000000)</f>
        <v>0</v>
      </c>
      <c r="F1270" s="87">
        <f>QUOTIENT(0,1000000)</f>
        <v>0</v>
      </c>
      <c r="G1270" s="87">
        <f>QUOTIENT(0,1000000)</f>
        <v>0</v>
      </c>
      <c r="H1270" s="88">
        <f>QUOTIENT(0,1000000)</f>
        <v>0</v>
      </c>
    </row>
    <row r="1271" spans="1:8" ht="21.75" customHeight="1" x14ac:dyDescent="0.15">
      <c r="A1271" s="250"/>
      <c r="B1271" s="23" t="s">
        <v>19</v>
      </c>
      <c r="C1271" s="22">
        <v>218</v>
      </c>
      <c r="D1271" s="86">
        <f>QUOTIENT(5575990000000,1000000)</f>
        <v>5575990</v>
      </c>
      <c r="E1271" s="86">
        <f>QUOTIENT(607810000000,1000000)</f>
        <v>607810</v>
      </c>
      <c r="F1271" s="87">
        <f>QUOTIENT(2716300000000,1000000)</f>
        <v>2716300</v>
      </c>
      <c r="G1271" s="87">
        <f>QUOTIENT(2201880000000,1000000)</f>
        <v>2201880</v>
      </c>
      <c r="H1271" s="88">
        <f>QUOTIENT(50000000000,1000000)</f>
        <v>50000</v>
      </c>
    </row>
    <row r="1272" spans="1:8" ht="21.75" customHeight="1" x14ac:dyDescent="0.15">
      <c r="A1272" s="250"/>
      <c r="B1272" s="23" t="s">
        <v>18</v>
      </c>
      <c r="C1272" s="22">
        <v>3909</v>
      </c>
      <c r="D1272" s="86">
        <f>QUOTIENT(81098407500000,1000000)</f>
        <v>81098407</v>
      </c>
      <c r="E1272" s="86">
        <f>QUOTIENT(19358335900000,1000000)</f>
        <v>19358335</v>
      </c>
      <c r="F1272" s="87">
        <f>QUOTIENT(30946476800000,1000000)</f>
        <v>30946476</v>
      </c>
      <c r="G1272" s="87">
        <f>QUOTIENT(30239797700000,1000000)</f>
        <v>30239797</v>
      </c>
      <c r="H1272" s="88">
        <f>QUOTIENT(553797100000,1000000)</f>
        <v>553797</v>
      </c>
    </row>
    <row r="1273" spans="1:8" ht="21.75" customHeight="1" x14ac:dyDescent="0.15">
      <c r="A1273" s="250"/>
      <c r="B1273" s="23" t="s">
        <v>17</v>
      </c>
      <c r="C1273" s="22">
        <v>684</v>
      </c>
      <c r="D1273" s="86">
        <f>QUOTIENT(15933360000000,1000000)</f>
        <v>15933360</v>
      </c>
      <c r="E1273" s="86">
        <f>QUOTIENT(3769507800000,1000000)</f>
        <v>3769507</v>
      </c>
      <c r="F1273" s="87">
        <f>QUOTIENT(6456801500000,1000000)</f>
        <v>6456801</v>
      </c>
      <c r="G1273" s="87">
        <f>QUOTIENT(5654854600000,1000000)</f>
        <v>5654854</v>
      </c>
      <c r="H1273" s="88">
        <f>QUOTIENT(52196100000,1000000)</f>
        <v>52196</v>
      </c>
    </row>
    <row r="1274" spans="1:8" ht="21.75" customHeight="1" x14ac:dyDescent="0.15">
      <c r="A1274" s="250"/>
      <c r="B1274" s="23" t="s">
        <v>16</v>
      </c>
      <c r="C1274" s="22">
        <v>63429</v>
      </c>
      <c r="D1274" s="86">
        <f>QUOTIENT(16011398529000,1000000)</f>
        <v>16011398</v>
      </c>
      <c r="E1274" s="86">
        <f>QUOTIENT(4587715067000,1000000)</f>
        <v>4587715</v>
      </c>
      <c r="F1274" s="87">
        <f>QUOTIENT(5037582208000,1000000)</f>
        <v>5037582</v>
      </c>
      <c r="G1274" s="87">
        <f>QUOTIENT(6381411254000,1000000)</f>
        <v>6381411</v>
      </c>
      <c r="H1274" s="88">
        <f>QUOTIENT(4690000000,1000000)</f>
        <v>4690</v>
      </c>
    </row>
    <row r="1275" spans="1:8" ht="21.75" customHeight="1" x14ac:dyDescent="0.15">
      <c r="A1275" s="250"/>
      <c r="B1275" s="23" t="s">
        <v>15</v>
      </c>
      <c r="C1275" s="22">
        <v>539</v>
      </c>
      <c r="D1275" s="86">
        <f>QUOTIENT(4142120896000,1000000)</f>
        <v>4142120</v>
      </c>
      <c r="E1275" s="86">
        <f>QUOTIENT(3570457467000,1000000)</f>
        <v>3570457</v>
      </c>
      <c r="F1275" s="87">
        <f>QUOTIENT(461165895000,1000000)</f>
        <v>461165</v>
      </c>
      <c r="G1275" s="87">
        <f>QUOTIENT(110252534000,1000000)</f>
        <v>110252</v>
      </c>
      <c r="H1275" s="88">
        <f>QUOTIENT(245000000,1000000)</f>
        <v>245</v>
      </c>
    </row>
    <row r="1276" spans="1:8" ht="21.75" customHeight="1" x14ac:dyDescent="0.15">
      <c r="A1276" s="250"/>
      <c r="B1276" s="23" t="s">
        <v>14</v>
      </c>
      <c r="C1276" s="22">
        <v>37</v>
      </c>
      <c r="D1276" s="86">
        <f>QUOTIENT(112700000000,1000000)</f>
        <v>112700</v>
      </c>
      <c r="E1276" s="86">
        <f>QUOTIENT(22800000000,1000000)</f>
        <v>22800</v>
      </c>
      <c r="F1276" s="87">
        <f>QUOTIENT(59200000000,1000000)</f>
        <v>59200</v>
      </c>
      <c r="G1276" s="87">
        <f>QUOTIENT(30700000000,1000000)</f>
        <v>30700</v>
      </c>
      <c r="H1276" s="88">
        <f>QUOTIENT(0,1000000)</f>
        <v>0</v>
      </c>
    </row>
    <row r="1277" spans="1:8" ht="21.75" customHeight="1" x14ac:dyDescent="0.15">
      <c r="A1277" s="250"/>
      <c r="B1277" s="23" t="s">
        <v>13</v>
      </c>
      <c r="C1277" s="22">
        <v>684</v>
      </c>
      <c r="D1277" s="86">
        <f>QUOTIENT(2969470127000,1000000)</f>
        <v>2969470</v>
      </c>
      <c r="E1277" s="86">
        <f>QUOTIENT(225021677000,1000000)</f>
        <v>225021</v>
      </c>
      <c r="F1277" s="87">
        <f>QUOTIENT(1589858660000,1000000)</f>
        <v>1589858</v>
      </c>
      <c r="G1277" s="87">
        <f>QUOTIENT(1154589790000,1000000)</f>
        <v>1154589</v>
      </c>
      <c r="H1277" s="88">
        <f>QUOTIENT(0,1000000)</f>
        <v>0</v>
      </c>
    </row>
    <row r="1278" spans="1:8" ht="21.75" customHeight="1" x14ac:dyDescent="0.15">
      <c r="A1278" s="250"/>
      <c r="B1278" s="23" t="s">
        <v>12</v>
      </c>
      <c r="C1278" s="22">
        <v>255</v>
      </c>
      <c r="D1278" s="86">
        <f>QUOTIENT(6874100000000,1000000)</f>
        <v>6874100</v>
      </c>
      <c r="E1278" s="86">
        <f>QUOTIENT(932074000000,1000000)</f>
        <v>932074</v>
      </c>
      <c r="F1278" s="87">
        <f>QUOTIENT(2205454000000,1000000)</f>
        <v>2205454</v>
      </c>
      <c r="G1278" s="87">
        <f>QUOTIENT(3708272000000,1000000)</f>
        <v>3708272</v>
      </c>
      <c r="H1278" s="88">
        <f>QUOTIENT(28300000000,1000000)</f>
        <v>28300</v>
      </c>
    </row>
    <row r="1279" spans="1:8" ht="21.75" customHeight="1" x14ac:dyDescent="0.15">
      <c r="A1279" s="250"/>
      <c r="B1279" s="23" t="s">
        <v>11</v>
      </c>
      <c r="C1279" s="22">
        <v>63</v>
      </c>
      <c r="D1279" s="86">
        <f>QUOTIENT(1356750000000,1000000)</f>
        <v>1356750</v>
      </c>
      <c r="E1279" s="86">
        <f>QUOTIENT(128500000000,1000000)</f>
        <v>128500</v>
      </c>
      <c r="F1279" s="87">
        <f>QUOTIENT(585850000000,1000000)</f>
        <v>585850</v>
      </c>
      <c r="G1279" s="87">
        <f>QUOTIENT(642400000000,1000000)</f>
        <v>642400</v>
      </c>
      <c r="H1279" s="88">
        <f>QUOTIENT(0,1000000)</f>
        <v>0</v>
      </c>
    </row>
    <row r="1280" spans="1:8" ht="21.75" customHeight="1" x14ac:dyDescent="0.15">
      <c r="A1280" s="250"/>
      <c r="B1280" s="23" t="s">
        <v>10</v>
      </c>
      <c r="C1280" s="22">
        <v>0</v>
      </c>
      <c r="D1280" s="86">
        <f t="shared" ref="D1280:G1282" si="33">QUOTIENT(0,1000000)</f>
        <v>0</v>
      </c>
      <c r="E1280" s="86">
        <f t="shared" si="33"/>
        <v>0</v>
      </c>
      <c r="F1280" s="87">
        <f t="shared" si="33"/>
        <v>0</v>
      </c>
      <c r="G1280" s="87">
        <f t="shared" si="33"/>
        <v>0</v>
      </c>
      <c r="H1280" s="88">
        <f>QUOTIENT(0,1000000)</f>
        <v>0</v>
      </c>
    </row>
    <row r="1281" spans="1:8" ht="21.75" customHeight="1" x14ac:dyDescent="0.15">
      <c r="A1281" s="250"/>
      <c r="B1281" s="23" t="s">
        <v>9</v>
      </c>
      <c r="C1281" s="22">
        <v>0</v>
      </c>
      <c r="D1281" s="86">
        <f t="shared" si="33"/>
        <v>0</v>
      </c>
      <c r="E1281" s="86">
        <f t="shared" si="33"/>
        <v>0</v>
      </c>
      <c r="F1281" s="87">
        <f t="shared" si="33"/>
        <v>0</v>
      </c>
      <c r="G1281" s="87">
        <f t="shared" si="33"/>
        <v>0</v>
      </c>
      <c r="H1281" s="88">
        <f>QUOTIENT(0,1000000)</f>
        <v>0</v>
      </c>
    </row>
    <row r="1282" spans="1:8" ht="21.75" customHeight="1" x14ac:dyDescent="0.15">
      <c r="A1282" s="250"/>
      <c r="B1282" s="23" t="s">
        <v>8</v>
      </c>
      <c r="C1282" s="22">
        <v>0</v>
      </c>
      <c r="D1282" s="86">
        <f t="shared" si="33"/>
        <v>0</v>
      </c>
      <c r="E1282" s="86">
        <f t="shared" si="33"/>
        <v>0</v>
      </c>
      <c r="F1282" s="87">
        <f t="shared" si="33"/>
        <v>0</v>
      </c>
      <c r="G1282" s="87">
        <f t="shared" si="33"/>
        <v>0</v>
      </c>
      <c r="H1282" s="88">
        <f>QUOTIENT(0,1000000)</f>
        <v>0</v>
      </c>
    </row>
    <row r="1283" spans="1:8" ht="21.75" customHeight="1" x14ac:dyDescent="0.15">
      <c r="A1283" s="251"/>
      <c r="B1283" s="23" t="s">
        <v>7</v>
      </c>
      <c r="C1283" s="22">
        <v>36</v>
      </c>
      <c r="D1283" s="86">
        <f>QUOTIENT(17949000000,1000000)</f>
        <v>17949</v>
      </c>
      <c r="E1283" s="86">
        <f>QUOTIENT(584000000,1000000)</f>
        <v>584</v>
      </c>
      <c r="F1283" s="87">
        <f>QUOTIENT(14000000000,1000000)</f>
        <v>14000</v>
      </c>
      <c r="G1283" s="87">
        <f>QUOTIENT(3365000000,1000000)</f>
        <v>3365</v>
      </c>
      <c r="H1283" s="88">
        <f>QUOTIENT(0,1000000)</f>
        <v>0</v>
      </c>
    </row>
    <row r="1284" spans="1:8" ht="21.75" customHeight="1" x14ac:dyDescent="0.15">
      <c r="A1284" s="18" t="s">
        <v>6</v>
      </c>
      <c r="B1284" s="17" t="s">
        <v>5</v>
      </c>
      <c r="C1284" s="16">
        <v>3306</v>
      </c>
      <c r="D1284" s="80">
        <v>24294541</v>
      </c>
      <c r="E1284" s="80">
        <v>938600</v>
      </c>
      <c r="F1284" s="81">
        <v>13950912</v>
      </c>
      <c r="G1284" s="81">
        <v>7751959</v>
      </c>
      <c r="H1284" s="82">
        <v>1653070</v>
      </c>
    </row>
    <row r="1285" spans="1:8" ht="21.75" customHeight="1" x14ac:dyDescent="0.15">
      <c r="A1285" s="252" t="s">
        <v>4</v>
      </c>
      <c r="B1285" s="12" t="s">
        <v>3</v>
      </c>
      <c r="C1285" s="11">
        <v>5705</v>
      </c>
      <c r="D1285" s="89">
        <v>100207196</v>
      </c>
      <c r="E1285" s="89">
        <v>63014083</v>
      </c>
      <c r="F1285" s="90">
        <v>17075156</v>
      </c>
      <c r="G1285" s="90">
        <v>12597185</v>
      </c>
      <c r="H1285" s="91">
        <v>7520771</v>
      </c>
    </row>
    <row r="1286" spans="1:8" ht="21.75" customHeight="1" thickBot="1" x14ac:dyDescent="0.2">
      <c r="A1286" s="253"/>
      <c r="B1286" s="7" t="s">
        <v>1153</v>
      </c>
      <c r="C1286" s="6">
        <v>8101</v>
      </c>
      <c r="D1286" s="92" t="s">
        <v>2178</v>
      </c>
      <c r="E1286" s="92" t="s">
        <v>2178</v>
      </c>
      <c r="F1286" s="92" t="s">
        <v>2178</v>
      </c>
      <c r="G1286" s="92" t="s">
        <v>2178</v>
      </c>
      <c r="H1286" s="93" t="s">
        <v>2178</v>
      </c>
    </row>
    <row r="1287" spans="1:8" ht="18" customHeight="1" x14ac:dyDescent="0.15">
      <c r="A1287" s="3" t="s">
        <v>1155</v>
      </c>
      <c r="B1287" s="2"/>
      <c r="C1287" s="2"/>
      <c r="D1287" s="2"/>
      <c r="E1287" s="2"/>
      <c r="F1287" s="2"/>
      <c r="G1287" s="2"/>
      <c r="H1287" s="2"/>
    </row>
    <row r="1288" spans="1:8" ht="18" customHeight="1" x14ac:dyDescent="0.15">
      <c r="A1288" s="3" t="s">
        <v>2587</v>
      </c>
      <c r="B1288" s="2"/>
      <c r="C1288" s="2"/>
      <c r="D1288" s="2"/>
      <c r="E1288" s="2"/>
      <c r="F1288" s="2"/>
      <c r="G1288" s="2"/>
      <c r="H1288" s="2"/>
    </row>
    <row r="1289" spans="1:8" ht="18" customHeight="1" x14ac:dyDescent="0.15">
      <c r="A1289" s="3" t="s">
        <v>1156</v>
      </c>
      <c r="B1289" s="2"/>
      <c r="C1289" s="2"/>
      <c r="D1289" s="2"/>
      <c r="E1289" s="2"/>
      <c r="F1289" s="2"/>
      <c r="G1289" s="2"/>
      <c r="H1289" s="2"/>
    </row>
    <row r="1290" spans="1:8" ht="18" customHeight="1" x14ac:dyDescent="0.15">
      <c r="A1290" s="3" t="s">
        <v>2493</v>
      </c>
      <c r="B1290" s="2"/>
      <c r="C1290" s="2"/>
      <c r="D1290" s="2"/>
      <c r="E1290" s="2"/>
      <c r="F1290" s="2"/>
      <c r="G1290" s="2"/>
      <c r="H1290" s="2"/>
    </row>
    <row r="1291" spans="1:8" ht="24" x14ac:dyDescent="0.15">
      <c r="A1291" s="230" t="s">
        <v>2490</v>
      </c>
      <c r="B1291" s="230"/>
      <c r="C1291" s="230"/>
      <c r="D1291" s="230"/>
      <c r="E1291" s="230"/>
      <c r="F1291" s="230"/>
      <c r="G1291" s="230"/>
      <c r="H1291" s="230"/>
    </row>
    <row r="1292" spans="1:8" ht="18" customHeight="1" x14ac:dyDescent="0.15">
      <c r="A1292" s="231"/>
      <c r="B1292" s="231"/>
      <c r="C1292" s="231"/>
      <c r="D1292" s="231"/>
      <c r="E1292" s="231"/>
      <c r="F1292" s="231"/>
      <c r="G1292" s="231"/>
      <c r="H1292" s="231"/>
    </row>
    <row r="1293" spans="1:8" thickBot="1" x14ac:dyDescent="0.2">
      <c r="A1293" s="58" t="s">
        <v>48</v>
      </c>
    </row>
    <row r="1294" spans="1:8" ht="18" customHeight="1" x14ac:dyDescent="0.15">
      <c r="A1294" s="232" t="s">
        <v>47</v>
      </c>
      <c r="B1294" s="235" t="s">
        <v>46</v>
      </c>
      <c r="C1294" s="238" t="s">
        <v>45</v>
      </c>
      <c r="D1294" s="241" t="s">
        <v>44</v>
      </c>
      <c r="E1294" s="122"/>
      <c r="F1294" s="56"/>
      <c r="G1294" s="56"/>
      <c r="H1294" s="55"/>
    </row>
    <row r="1295" spans="1:8" ht="18" customHeight="1" x14ac:dyDescent="0.15">
      <c r="A1295" s="233"/>
      <c r="B1295" s="236"/>
      <c r="C1295" s="239"/>
      <c r="D1295" s="242"/>
      <c r="E1295" s="244" t="s">
        <v>43</v>
      </c>
      <c r="F1295" s="246" t="s">
        <v>42</v>
      </c>
      <c r="G1295" s="246" t="s">
        <v>41</v>
      </c>
      <c r="H1295" s="248" t="s">
        <v>40</v>
      </c>
    </row>
    <row r="1296" spans="1:8" ht="18" customHeight="1" thickBot="1" x14ac:dyDescent="0.2">
      <c r="A1296" s="234"/>
      <c r="B1296" s="237"/>
      <c r="C1296" s="240"/>
      <c r="D1296" s="243"/>
      <c r="E1296" s="245"/>
      <c r="F1296" s="247"/>
      <c r="G1296" s="247"/>
      <c r="H1296" s="249"/>
    </row>
    <row r="1297" spans="1:8" s="60" customFormat="1" ht="18" customHeight="1" thickTop="1" x14ac:dyDescent="0.15">
      <c r="A1297" s="123"/>
      <c r="B1297" s="124"/>
      <c r="C1297" s="52"/>
      <c r="D1297" s="51" t="s">
        <v>39</v>
      </c>
      <c r="E1297" s="50" t="s">
        <v>39</v>
      </c>
      <c r="F1297" s="49" t="s">
        <v>39</v>
      </c>
      <c r="G1297" s="49" t="s">
        <v>39</v>
      </c>
      <c r="H1297" s="48" t="s">
        <v>39</v>
      </c>
    </row>
    <row r="1298" spans="1:8" ht="21.75" customHeight="1" x14ac:dyDescent="0.15">
      <c r="A1298" s="250" t="s">
        <v>38</v>
      </c>
      <c r="B1298" s="61" t="s">
        <v>37</v>
      </c>
      <c r="C1298" s="62">
        <v>3894</v>
      </c>
      <c r="D1298" s="63">
        <f>QUOTIENT(753543105196433,1000000)</f>
        <v>753543105</v>
      </c>
      <c r="E1298" s="63">
        <f>QUOTIENT(278865470970173,1000000)</f>
        <v>278865470</v>
      </c>
      <c r="F1298" s="64">
        <f>QUOTIENT(234839720277327,1000000)</f>
        <v>234839720</v>
      </c>
      <c r="G1298" s="64">
        <f>QUOTIENT(228867593933357,1000000)</f>
        <v>228867593</v>
      </c>
      <c r="H1298" s="65">
        <f>QUOTIENT(10970320015574,1000000)</f>
        <v>10970320</v>
      </c>
    </row>
    <row r="1299" spans="1:8" ht="21.75" customHeight="1" x14ac:dyDescent="0.15">
      <c r="A1299" s="250"/>
      <c r="B1299" s="66" t="s">
        <v>36</v>
      </c>
      <c r="C1299" s="67">
        <v>18</v>
      </c>
      <c r="D1299" s="68">
        <f>QUOTIENT(108378349500,1000000)</f>
        <v>108378</v>
      </c>
      <c r="E1299" s="68">
        <f>QUOTIENT(27797186500,1000000)</f>
        <v>27797</v>
      </c>
      <c r="F1299" s="69">
        <f>QUOTIENT(78663694500,1000000)</f>
        <v>78663</v>
      </c>
      <c r="G1299" s="69">
        <f>QUOTIENT(1912322500,1000000)</f>
        <v>1912</v>
      </c>
      <c r="H1299" s="70">
        <f>QUOTIENT(5146000,1000000)</f>
        <v>5</v>
      </c>
    </row>
    <row r="1300" spans="1:8" ht="21.75" customHeight="1" x14ac:dyDescent="0.15">
      <c r="A1300" s="250"/>
      <c r="B1300" s="66" t="s">
        <v>35</v>
      </c>
      <c r="C1300" s="67">
        <v>103</v>
      </c>
      <c r="D1300" s="68">
        <f>QUOTIENT(0,1000000)</f>
        <v>0</v>
      </c>
      <c r="E1300" s="68">
        <f>QUOTIENT(0,1000000)</f>
        <v>0</v>
      </c>
      <c r="F1300" s="69">
        <f>QUOTIENT(0,1000000)</f>
        <v>0</v>
      </c>
      <c r="G1300" s="69">
        <f>QUOTIENT(0,1000000)</f>
        <v>0</v>
      </c>
      <c r="H1300" s="70">
        <f>QUOTIENT(0,1000000)</f>
        <v>0</v>
      </c>
    </row>
    <row r="1301" spans="1:8" ht="21.75" customHeight="1" x14ac:dyDescent="0.15">
      <c r="A1301" s="250"/>
      <c r="B1301" s="71" t="s">
        <v>34</v>
      </c>
      <c r="C1301" s="72">
        <v>1</v>
      </c>
      <c r="D1301" s="73">
        <f>QUOTIENT(170327391000,1000000)</f>
        <v>170327</v>
      </c>
      <c r="E1301" s="73">
        <f>QUOTIENT(126670869000,1000000)</f>
        <v>126670</v>
      </c>
      <c r="F1301" s="74">
        <f>QUOTIENT(8295566500,1000000)</f>
        <v>8295</v>
      </c>
      <c r="G1301" s="74">
        <f>QUOTIENT(31109156000,1000000)</f>
        <v>31109</v>
      </c>
      <c r="H1301" s="75">
        <f>QUOTIENT(4251799500,1000000)</f>
        <v>4251</v>
      </c>
    </row>
    <row r="1302" spans="1:8" ht="21.75" customHeight="1" x14ac:dyDescent="0.15">
      <c r="A1302" s="250"/>
      <c r="B1302" s="66" t="s">
        <v>33</v>
      </c>
      <c r="C1302" s="67">
        <v>69</v>
      </c>
      <c r="D1302" s="68">
        <f>QUOTIENT(17272393242000,1000000)</f>
        <v>17272393</v>
      </c>
      <c r="E1302" s="68">
        <f>QUOTIENT(4231233436100,1000000)</f>
        <v>4231233</v>
      </c>
      <c r="F1302" s="69">
        <f>QUOTIENT(5128598409300,1000000)</f>
        <v>5128598</v>
      </c>
      <c r="G1302" s="69">
        <f>QUOTIENT(7746273434900,1000000)</f>
        <v>7746273</v>
      </c>
      <c r="H1302" s="70">
        <f>QUOTIENT(166287961700,1000000)</f>
        <v>166287</v>
      </c>
    </row>
    <row r="1303" spans="1:8" ht="21.75" customHeight="1" x14ac:dyDescent="0.15">
      <c r="A1303" s="250"/>
      <c r="B1303" s="76" t="s">
        <v>32</v>
      </c>
      <c r="C1303" s="67">
        <v>211</v>
      </c>
      <c r="D1303" s="68">
        <f>QUOTIENT(63458331921085,1000000)</f>
        <v>63458331</v>
      </c>
      <c r="E1303" s="68">
        <f>QUOTIENT(4694517846149,1000000)</f>
        <v>4694517</v>
      </c>
      <c r="F1303" s="69">
        <f>QUOTIENT(1917663025005,1000000)</f>
        <v>1917663</v>
      </c>
      <c r="G1303" s="69">
        <f>QUOTIENT(56653993835931,1000000)</f>
        <v>56653993</v>
      </c>
      <c r="H1303" s="70">
        <f>QUOTIENT(192157214000,1000000)</f>
        <v>192157</v>
      </c>
    </row>
    <row r="1304" spans="1:8" ht="21.75" customHeight="1" x14ac:dyDescent="0.15">
      <c r="A1304" s="251"/>
      <c r="B1304" s="77" t="s">
        <v>31</v>
      </c>
      <c r="C1304" s="72">
        <v>44</v>
      </c>
      <c r="D1304" s="73">
        <f>QUOTIENT(432016130291,1000000)</f>
        <v>432016</v>
      </c>
      <c r="E1304" s="73">
        <f>QUOTIENT(330291149930,1000000)</f>
        <v>330291</v>
      </c>
      <c r="F1304" s="74">
        <f>QUOTIENT(15631553221,1000000)</f>
        <v>15631</v>
      </c>
      <c r="G1304" s="74">
        <f>QUOTIENT(71128866180,1000000)</f>
        <v>71128</v>
      </c>
      <c r="H1304" s="75">
        <f>QUOTIENT(14964560960,1000000)</f>
        <v>14964</v>
      </c>
    </row>
    <row r="1305" spans="1:8" ht="21.75" customHeight="1" x14ac:dyDescent="0.15">
      <c r="A1305" s="30" t="s">
        <v>30</v>
      </c>
      <c r="B1305" s="78" t="s">
        <v>29</v>
      </c>
      <c r="C1305" s="79">
        <v>28</v>
      </c>
      <c r="D1305" s="80">
        <f>QUOTIENT(111755646242,1000000)</f>
        <v>111755</v>
      </c>
      <c r="E1305" s="80">
        <f>QUOTIENT(97613508408,1000000)</f>
        <v>97613</v>
      </c>
      <c r="F1305" s="81">
        <f>QUOTIENT(610597205,1000000)</f>
        <v>610</v>
      </c>
      <c r="G1305" s="81">
        <f>QUOTIENT(310286880,1000000)</f>
        <v>310</v>
      </c>
      <c r="H1305" s="82">
        <f>QUOTIENT(13221253749,1000000)</f>
        <v>13221</v>
      </c>
    </row>
    <row r="1306" spans="1:8" ht="21.75" customHeight="1" x14ac:dyDescent="0.15">
      <c r="A1306" s="252" t="s">
        <v>28</v>
      </c>
      <c r="B1306" s="17" t="s">
        <v>27</v>
      </c>
      <c r="C1306" s="16">
        <v>3342</v>
      </c>
      <c r="D1306" s="83">
        <f>QUOTIENT(64174351570000,1000000)</f>
        <v>64174351</v>
      </c>
      <c r="E1306" s="83">
        <f>QUOTIENT(9726975230000,1000000)</f>
        <v>9726975</v>
      </c>
      <c r="F1306" s="84">
        <f>QUOTIENT(29078673340000,1000000)</f>
        <v>29078673</v>
      </c>
      <c r="G1306" s="84">
        <f>QUOTIENT(25253647970000,1000000)</f>
        <v>25253647</v>
      </c>
      <c r="H1306" s="85">
        <f>QUOTIENT(115055030000,1000000)</f>
        <v>115055</v>
      </c>
    </row>
    <row r="1307" spans="1:8" ht="21.75" customHeight="1" x14ac:dyDescent="0.15">
      <c r="A1307" s="250"/>
      <c r="B1307" s="23" t="s">
        <v>26</v>
      </c>
      <c r="C1307" s="22">
        <v>3543</v>
      </c>
      <c r="D1307" s="86">
        <f>QUOTIENT(15310092259000,1000000)</f>
        <v>15310092</v>
      </c>
      <c r="E1307" s="86">
        <f>QUOTIENT(520819494000,1000000)</f>
        <v>520819</v>
      </c>
      <c r="F1307" s="87">
        <f>QUOTIENT(10283017702000,1000000)</f>
        <v>10283017</v>
      </c>
      <c r="G1307" s="87">
        <f>QUOTIENT(4495408063000,1000000)</f>
        <v>4495408</v>
      </c>
      <c r="H1307" s="88">
        <f>QUOTIENT(10847000000,1000000)</f>
        <v>10847</v>
      </c>
    </row>
    <row r="1308" spans="1:8" ht="21.75" customHeight="1" x14ac:dyDescent="0.15">
      <c r="A1308" s="250"/>
      <c r="B1308" s="24" t="s">
        <v>25</v>
      </c>
      <c r="C1308" s="22">
        <v>592</v>
      </c>
      <c r="D1308" s="86">
        <f>QUOTIENT(24609680000000,1000000)</f>
        <v>24609680</v>
      </c>
      <c r="E1308" s="86">
        <f>QUOTIENT(1738219100000,1000000)</f>
        <v>1738219</v>
      </c>
      <c r="F1308" s="87">
        <f>QUOTIENT(11301556600000,1000000)</f>
        <v>11301556</v>
      </c>
      <c r="G1308" s="87">
        <f>QUOTIENT(11506445300000,1000000)</f>
        <v>11506445</v>
      </c>
      <c r="H1308" s="88">
        <f>QUOTIENT(63459000000,1000000)</f>
        <v>63459</v>
      </c>
    </row>
    <row r="1309" spans="1:8" ht="21.75" customHeight="1" x14ac:dyDescent="0.15">
      <c r="A1309" s="250"/>
      <c r="B1309" s="23" t="s">
        <v>24</v>
      </c>
      <c r="C1309" s="22">
        <v>2070</v>
      </c>
      <c r="D1309" s="86">
        <f>QUOTIENT(58652900000000,1000000)</f>
        <v>58652900</v>
      </c>
      <c r="E1309" s="86">
        <f>QUOTIENT(6922924300000,1000000)</f>
        <v>6922924</v>
      </c>
      <c r="F1309" s="87">
        <f>QUOTIENT(19885255400000,1000000)</f>
        <v>19885255</v>
      </c>
      <c r="G1309" s="87">
        <f>QUOTIENT(31841470300000,1000000)</f>
        <v>31841470</v>
      </c>
      <c r="H1309" s="88">
        <f>QUOTIENT(3250000000,1000000)</f>
        <v>3250</v>
      </c>
    </row>
    <row r="1310" spans="1:8" ht="21.75" customHeight="1" x14ac:dyDescent="0.15">
      <c r="A1310" s="250"/>
      <c r="B1310" s="23" t="s">
        <v>23</v>
      </c>
      <c r="C1310" s="22">
        <v>466</v>
      </c>
      <c r="D1310" s="86">
        <f>QUOTIENT(4888198000000,1000000)</f>
        <v>4888198</v>
      </c>
      <c r="E1310" s="86">
        <f>QUOTIENT(339414000000,1000000)</f>
        <v>339414</v>
      </c>
      <c r="F1310" s="87">
        <f>QUOTIENT(97428100000,1000000)</f>
        <v>97428</v>
      </c>
      <c r="G1310" s="87">
        <f>QUOTIENT(4451355900000,1000000)</f>
        <v>4451355</v>
      </c>
      <c r="H1310" s="88">
        <f>QUOTIENT(0,1000000)</f>
        <v>0</v>
      </c>
    </row>
    <row r="1311" spans="1:8" ht="21.75" customHeight="1" x14ac:dyDescent="0.15">
      <c r="A1311" s="250"/>
      <c r="B1311" s="23" t="s">
        <v>22</v>
      </c>
      <c r="C1311" s="22">
        <v>158</v>
      </c>
      <c r="D1311" s="86">
        <f>QUOTIENT(1296300000000,1000000)</f>
        <v>1296300</v>
      </c>
      <c r="E1311" s="86">
        <f>QUOTIENT(318870000000,1000000)</f>
        <v>318870</v>
      </c>
      <c r="F1311" s="87">
        <f>QUOTIENT(455700000000,1000000)</f>
        <v>455700</v>
      </c>
      <c r="G1311" s="87">
        <f>QUOTIENT(521730000000,1000000)</f>
        <v>521730</v>
      </c>
      <c r="H1311" s="88">
        <f>QUOTIENT(0,1000000)</f>
        <v>0</v>
      </c>
    </row>
    <row r="1312" spans="1:8" ht="21.75" customHeight="1" x14ac:dyDescent="0.15">
      <c r="A1312" s="250"/>
      <c r="B1312" s="23" t="s">
        <v>21</v>
      </c>
      <c r="C1312" s="22">
        <v>23</v>
      </c>
      <c r="D1312" s="86">
        <f>QUOTIENT(151996000000,1000000)</f>
        <v>151996</v>
      </c>
      <c r="E1312" s="86">
        <f>QUOTIENT(115197000000,1000000)</f>
        <v>115197</v>
      </c>
      <c r="F1312" s="87">
        <f>QUOTIENT(21793000000,1000000)</f>
        <v>21793</v>
      </c>
      <c r="G1312" s="87">
        <f>QUOTIENT(15006000000,1000000)</f>
        <v>15006</v>
      </c>
      <c r="H1312" s="88">
        <f>QUOTIENT(0,1000000)</f>
        <v>0</v>
      </c>
    </row>
    <row r="1313" spans="1:8" ht="21.75" customHeight="1" x14ac:dyDescent="0.15">
      <c r="A1313" s="250"/>
      <c r="B1313" s="23" t="s">
        <v>20</v>
      </c>
      <c r="C1313" s="22">
        <v>0</v>
      </c>
      <c r="D1313" s="86">
        <f>QUOTIENT(0,1000000)</f>
        <v>0</v>
      </c>
      <c r="E1313" s="86">
        <f>QUOTIENT(0,1000000)</f>
        <v>0</v>
      </c>
      <c r="F1313" s="87">
        <f>QUOTIENT(0,1000000)</f>
        <v>0</v>
      </c>
      <c r="G1313" s="87">
        <f>QUOTIENT(0,1000000)</f>
        <v>0</v>
      </c>
      <c r="H1313" s="88">
        <f>QUOTIENT(0,1000000)</f>
        <v>0</v>
      </c>
    </row>
    <row r="1314" spans="1:8" ht="21.75" customHeight="1" x14ac:dyDescent="0.15">
      <c r="A1314" s="250"/>
      <c r="B1314" s="23" t="s">
        <v>19</v>
      </c>
      <c r="C1314" s="22">
        <v>219</v>
      </c>
      <c r="D1314" s="86">
        <f>QUOTIENT(5649630000000,1000000)</f>
        <v>5649630</v>
      </c>
      <c r="E1314" s="86">
        <f>QUOTIENT(603860000000,1000000)</f>
        <v>603860</v>
      </c>
      <c r="F1314" s="87">
        <f>QUOTIENT(2739170000000,1000000)</f>
        <v>2739170</v>
      </c>
      <c r="G1314" s="87">
        <f>QUOTIENT(2264680000000,1000000)</f>
        <v>2264680</v>
      </c>
      <c r="H1314" s="88">
        <f>QUOTIENT(41920000000,1000000)</f>
        <v>41920</v>
      </c>
    </row>
    <row r="1315" spans="1:8" ht="21.75" customHeight="1" x14ac:dyDescent="0.15">
      <c r="A1315" s="250"/>
      <c r="B1315" s="23" t="s">
        <v>18</v>
      </c>
      <c r="C1315" s="22">
        <v>3877</v>
      </c>
      <c r="D1315" s="86">
        <f>QUOTIENT(79352743000000,1000000)</f>
        <v>79352743</v>
      </c>
      <c r="E1315" s="86">
        <f>QUOTIENT(18940791300000,1000000)</f>
        <v>18940791</v>
      </c>
      <c r="F1315" s="87">
        <f>QUOTIENT(30409976900000,1000000)</f>
        <v>30409976</v>
      </c>
      <c r="G1315" s="87">
        <f>QUOTIENT(29481285700000,1000000)</f>
        <v>29481285</v>
      </c>
      <c r="H1315" s="88">
        <f>QUOTIENT(520689100000,1000000)</f>
        <v>520689</v>
      </c>
    </row>
    <row r="1316" spans="1:8" ht="21.75" customHeight="1" x14ac:dyDescent="0.15">
      <c r="A1316" s="250"/>
      <c r="B1316" s="23" t="s">
        <v>17</v>
      </c>
      <c r="C1316" s="22">
        <v>669</v>
      </c>
      <c r="D1316" s="86">
        <f>QUOTIENT(15615260000000,1000000)</f>
        <v>15615260</v>
      </c>
      <c r="E1316" s="86">
        <f>QUOTIENT(3639394100000,1000000)</f>
        <v>3639394</v>
      </c>
      <c r="F1316" s="87">
        <f>QUOTIENT(6332700200000,1000000)</f>
        <v>6332700</v>
      </c>
      <c r="G1316" s="87">
        <f>QUOTIENT(5592269600000,1000000)</f>
        <v>5592269</v>
      </c>
      <c r="H1316" s="88">
        <f>QUOTIENT(50896100000,1000000)</f>
        <v>50896</v>
      </c>
    </row>
    <row r="1317" spans="1:8" ht="21.75" customHeight="1" x14ac:dyDescent="0.15">
      <c r="A1317" s="250"/>
      <c r="B1317" s="23" t="s">
        <v>16</v>
      </c>
      <c r="C1317" s="22">
        <v>63323</v>
      </c>
      <c r="D1317" s="86">
        <f>QUOTIENT(15997782280000,1000000)</f>
        <v>15997782</v>
      </c>
      <c r="E1317" s="86">
        <f>QUOTIENT(4578045067000,1000000)</f>
        <v>4578045</v>
      </c>
      <c r="F1317" s="87">
        <f>QUOTIENT(5045598734000,1000000)</f>
        <v>5045598</v>
      </c>
      <c r="G1317" s="87">
        <f>QUOTIENT(6369448479000,1000000)</f>
        <v>6369448</v>
      </c>
      <c r="H1317" s="88">
        <f>QUOTIENT(4690000000,1000000)</f>
        <v>4690</v>
      </c>
    </row>
    <row r="1318" spans="1:8" ht="21.75" customHeight="1" x14ac:dyDescent="0.15">
      <c r="A1318" s="250"/>
      <c r="B1318" s="23" t="s">
        <v>15</v>
      </c>
      <c r="C1318" s="22">
        <v>541</v>
      </c>
      <c r="D1318" s="86">
        <f>QUOTIENT(4152062147000,1000000)</f>
        <v>4152062</v>
      </c>
      <c r="E1318" s="86">
        <f>QUOTIENT(3577887467000,1000000)</f>
        <v>3577887</v>
      </c>
      <c r="F1318" s="87">
        <f>QUOTIENT(461283421000,1000000)</f>
        <v>461283</v>
      </c>
      <c r="G1318" s="87">
        <f>QUOTIENT(112646259000,1000000)</f>
        <v>112646</v>
      </c>
      <c r="H1318" s="88">
        <f>QUOTIENT(245000000,1000000)</f>
        <v>245</v>
      </c>
    </row>
    <row r="1319" spans="1:8" ht="21.75" customHeight="1" x14ac:dyDescent="0.15">
      <c r="A1319" s="250"/>
      <c r="B1319" s="23" t="s">
        <v>14</v>
      </c>
      <c r="C1319" s="22">
        <v>37</v>
      </c>
      <c r="D1319" s="86">
        <f>QUOTIENT(112700000000,1000000)</f>
        <v>112700</v>
      </c>
      <c r="E1319" s="86">
        <f>QUOTIENT(23000000000,1000000)</f>
        <v>23000</v>
      </c>
      <c r="F1319" s="87">
        <f>QUOTIENT(59000000000,1000000)</f>
        <v>59000</v>
      </c>
      <c r="G1319" s="87">
        <f>QUOTIENT(30700000000,1000000)</f>
        <v>30700</v>
      </c>
      <c r="H1319" s="88">
        <f>QUOTIENT(0,1000000)</f>
        <v>0</v>
      </c>
    </row>
    <row r="1320" spans="1:8" ht="21.75" customHeight="1" x14ac:dyDescent="0.15">
      <c r="A1320" s="250"/>
      <c r="B1320" s="23" t="s">
        <v>13</v>
      </c>
      <c r="C1320" s="22">
        <v>682</v>
      </c>
      <c r="D1320" s="86">
        <f>QUOTIENT(2970154127000,1000000)</f>
        <v>2970154</v>
      </c>
      <c r="E1320" s="86">
        <f>QUOTIENT(229321677000,1000000)</f>
        <v>229321</v>
      </c>
      <c r="F1320" s="87">
        <f>QUOTIENT(1595842660000,1000000)</f>
        <v>1595842</v>
      </c>
      <c r="G1320" s="87">
        <f>QUOTIENT(1144989790000,1000000)</f>
        <v>1144989</v>
      </c>
      <c r="H1320" s="88">
        <f>QUOTIENT(0,1000000)</f>
        <v>0</v>
      </c>
    </row>
    <row r="1321" spans="1:8" ht="21.75" customHeight="1" x14ac:dyDescent="0.15">
      <c r="A1321" s="250"/>
      <c r="B1321" s="23" t="s">
        <v>12</v>
      </c>
      <c r="C1321" s="22">
        <v>255</v>
      </c>
      <c r="D1321" s="86">
        <f>QUOTIENT(6904500000000,1000000)</f>
        <v>6904500</v>
      </c>
      <c r="E1321" s="86">
        <f>QUOTIENT(919674000000,1000000)</f>
        <v>919674</v>
      </c>
      <c r="F1321" s="87">
        <f>QUOTIENT(2219854000000,1000000)</f>
        <v>2219854</v>
      </c>
      <c r="G1321" s="87">
        <f>QUOTIENT(3726672000000,1000000)</f>
        <v>3726672</v>
      </c>
      <c r="H1321" s="88">
        <f>QUOTIENT(38300000000,1000000)</f>
        <v>38300</v>
      </c>
    </row>
    <row r="1322" spans="1:8" ht="21.75" customHeight="1" x14ac:dyDescent="0.15">
      <c r="A1322" s="250"/>
      <c r="B1322" s="23" t="s">
        <v>11</v>
      </c>
      <c r="C1322" s="22">
        <v>60</v>
      </c>
      <c r="D1322" s="86">
        <f>QUOTIENT(1347450000000,1000000)</f>
        <v>1347450</v>
      </c>
      <c r="E1322" s="86">
        <f>QUOTIENT(128500000000,1000000)</f>
        <v>128500</v>
      </c>
      <c r="F1322" s="87">
        <f>QUOTIENT(581250000000,1000000)</f>
        <v>581250</v>
      </c>
      <c r="G1322" s="87">
        <f>QUOTIENT(637700000000,1000000)</f>
        <v>637700</v>
      </c>
      <c r="H1322" s="88">
        <f>QUOTIENT(0,1000000)</f>
        <v>0</v>
      </c>
    </row>
    <row r="1323" spans="1:8" ht="21.75" customHeight="1" x14ac:dyDescent="0.15">
      <c r="A1323" s="250"/>
      <c r="B1323" s="23" t="s">
        <v>10</v>
      </c>
      <c r="C1323" s="22">
        <v>0</v>
      </c>
      <c r="D1323" s="86">
        <f t="shared" ref="D1323:G1325" si="34">QUOTIENT(0,1000000)</f>
        <v>0</v>
      </c>
      <c r="E1323" s="86">
        <f t="shared" si="34"/>
        <v>0</v>
      </c>
      <c r="F1323" s="87">
        <f t="shared" si="34"/>
        <v>0</v>
      </c>
      <c r="G1323" s="87">
        <f t="shared" si="34"/>
        <v>0</v>
      </c>
      <c r="H1323" s="88">
        <f>QUOTIENT(0,1000000)</f>
        <v>0</v>
      </c>
    </row>
    <row r="1324" spans="1:8" ht="21.75" customHeight="1" x14ac:dyDescent="0.15">
      <c r="A1324" s="250"/>
      <c r="B1324" s="23" t="s">
        <v>9</v>
      </c>
      <c r="C1324" s="22">
        <v>0</v>
      </c>
      <c r="D1324" s="86">
        <f t="shared" si="34"/>
        <v>0</v>
      </c>
      <c r="E1324" s="86">
        <f t="shared" si="34"/>
        <v>0</v>
      </c>
      <c r="F1324" s="87">
        <f t="shared" si="34"/>
        <v>0</v>
      </c>
      <c r="G1324" s="87">
        <f t="shared" si="34"/>
        <v>0</v>
      </c>
      <c r="H1324" s="88">
        <f>QUOTIENT(0,1000000)</f>
        <v>0</v>
      </c>
    </row>
    <row r="1325" spans="1:8" ht="21.75" customHeight="1" x14ac:dyDescent="0.15">
      <c r="A1325" s="250"/>
      <c r="B1325" s="23" t="s">
        <v>8</v>
      </c>
      <c r="C1325" s="22">
        <v>0</v>
      </c>
      <c r="D1325" s="86">
        <f t="shared" si="34"/>
        <v>0</v>
      </c>
      <c r="E1325" s="86">
        <f t="shared" si="34"/>
        <v>0</v>
      </c>
      <c r="F1325" s="87">
        <f t="shared" si="34"/>
        <v>0</v>
      </c>
      <c r="G1325" s="87">
        <f t="shared" si="34"/>
        <v>0</v>
      </c>
      <c r="H1325" s="88">
        <f>QUOTIENT(0,1000000)</f>
        <v>0</v>
      </c>
    </row>
    <row r="1326" spans="1:8" ht="21.75" customHeight="1" x14ac:dyDescent="0.15">
      <c r="A1326" s="251"/>
      <c r="B1326" s="23" t="s">
        <v>7</v>
      </c>
      <c r="C1326" s="22">
        <v>35</v>
      </c>
      <c r="D1326" s="86">
        <f>QUOTIENT(17649000000,1000000)</f>
        <v>17649</v>
      </c>
      <c r="E1326" s="86">
        <f>QUOTIENT(584000000,1000000)</f>
        <v>584</v>
      </c>
      <c r="F1326" s="87">
        <f>QUOTIENT(14000000000,1000000)</f>
        <v>14000</v>
      </c>
      <c r="G1326" s="87">
        <f>QUOTIENT(3065000000,1000000)</f>
        <v>3065</v>
      </c>
      <c r="H1326" s="88">
        <f>QUOTIENT(0,1000000)</f>
        <v>0</v>
      </c>
    </row>
    <row r="1327" spans="1:8" ht="21.75" customHeight="1" x14ac:dyDescent="0.15">
      <c r="A1327" s="18" t="s">
        <v>6</v>
      </c>
      <c r="B1327" s="17" t="s">
        <v>5</v>
      </c>
      <c r="C1327" s="16">
        <v>3181</v>
      </c>
      <c r="D1327" s="80">
        <v>21291646</v>
      </c>
      <c r="E1327" s="80">
        <v>910800</v>
      </c>
      <c r="F1327" s="81">
        <v>11640957</v>
      </c>
      <c r="G1327" s="81">
        <v>7170382</v>
      </c>
      <c r="H1327" s="82">
        <v>1569507</v>
      </c>
    </row>
    <row r="1328" spans="1:8" ht="21.75" customHeight="1" x14ac:dyDescent="0.15">
      <c r="A1328" s="252" t="s">
        <v>4</v>
      </c>
      <c r="B1328" s="12" t="s">
        <v>3</v>
      </c>
      <c r="C1328" s="11">
        <v>5705</v>
      </c>
      <c r="D1328" s="89">
        <v>97249475</v>
      </c>
      <c r="E1328" s="89">
        <v>61131567</v>
      </c>
      <c r="F1328" s="90">
        <v>16565057</v>
      </c>
      <c r="G1328" s="90">
        <v>12255808</v>
      </c>
      <c r="H1328" s="91">
        <v>7297042</v>
      </c>
    </row>
    <row r="1329" spans="1:8" ht="21.75" customHeight="1" thickBot="1" x14ac:dyDescent="0.2">
      <c r="A1329" s="253"/>
      <c r="B1329" s="7" t="s">
        <v>1153</v>
      </c>
      <c r="C1329" s="6">
        <v>8052</v>
      </c>
      <c r="D1329" s="92" t="s">
        <v>2178</v>
      </c>
      <c r="E1329" s="92" t="s">
        <v>2178</v>
      </c>
      <c r="F1329" s="92" t="s">
        <v>2178</v>
      </c>
      <c r="G1329" s="92" t="s">
        <v>2178</v>
      </c>
      <c r="H1329" s="93" t="s">
        <v>2178</v>
      </c>
    </row>
    <row r="1330" spans="1:8" ht="18" customHeight="1" x14ac:dyDescent="0.15">
      <c r="A1330" s="3" t="s">
        <v>1155</v>
      </c>
      <c r="B1330" s="2"/>
      <c r="C1330" s="2"/>
      <c r="D1330" s="2"/>
      <c r="E1330" s="2"/>
      <c r="F1330" s="2"/>
      <c r="G1330" s="2"/>
      <c r="H1330" s="2"/>
    </row>
    <row r="1331" spans="1:8" ht="18" customHeight="1" x14ac:dyDescent="0.15">
      <c r="A1331" s="3" t="s">
        <v>2587</v>
      </c>
      <c r="B1331" s="2"/>
      <c r="C1331" s="2"/>
      <c r="D1331" s="2"/>
      <c r="E1331" s="2"/>
      <c r="F1331" s="2"/>
      <c r="G1331" s="2"/>
      <c r="H1331" s="2"/>
    </row>
    <row r="1332" spans="1:8" ht="18" customHeight="1" x14ac:dyDescent="0.15">
      <c r="A1332" s="3" t="s">
        <v>1156</v>
      </c>
      <c r="B1332" s="2"/>
      <c r="C1332" s="2"/>
      <c r="D1332" s="2"/>
      <c r="E1332" s="2"/>
      <c r="F1332" s="2"/>
      <c r="G1332" s="2"/>
      <c r="H1332" s="2"/>
    </row>
    <row r="1333" spans="1:8" ht="18" customHeight="1" x14ac:dyDescent="0.15">
      <c r="A1333" s="3" t="s">
        <v>2491</v>
      </c>
      <c r="B1333" s="2"/>
      <c r="C1333" s="2"/>
      <c r="D1333" s="2"/>
      <c r="E1333" s="2"/>
      <c r="F1333" s="2"/>
      <c r="G1333" s="2"/>
      <c r="H1333" s="2"/>
    </row>
    <row r="1334" spans="1:8" ht="24" x14ac:dyDescent="0.15">
      <c r="A1334" s="230" t="s">
        <v>2488</v>
      </c>
      <c r="B1334" s="230"/>
      <c r="C1334" s="230"/>
      <c r="D1334" s="230"/>
      <c r="E1334" s="230"/>
      <c r="F1334" s="230"/>
      <c r="G1334" s="230"/>
      <c r="H1334" s="230"/>
    </row>
    <row r="1335" spans="1:8" ht="18" customHeight="1" x14ac:dyDescent="0.15">
      <c r="A1335" s="231"/>
      <c r="B1335" s="231"/>
      <c r="C1335" s="231"/>
      <c r="D1335" s="231"/>
      <c r="E1335" s="231"/>
      <c r="F1335" s="231"/>
      <c r="G1335" s="231"/>
      <c r="H1335" s="231"/>
    </row>
    <row r="1336" spans="1:8" thickBot="1" x14ac:dyDescent="0.2">
      <c r="A1336" s="58" t="s">
        <v>48</v>
      </c>
    </row>
    <row r="1337" spans="1:8" ht="18" customHeight="1" x14ac:dyDescent="0.15">
      <c r="A1337" s="232" t="s">
        <v>47</v>
      </c>
      <c r="B1337" s="235" t="s">
        <v>46</v>
      </c>
      <c r="C1337" s="238" t="s">
        <v>45</v>
      </c>
      <c r="D1337" s="241" t="s">
        <v>44</v>
      </c>
      <c r="E1337" s="119"/>
      <c r="F1337" s="56"/>
      <c r="G1337" s="56"/>
      <c r="H1337" s="55"/>
    </row>
    <row r="1338" spans="1:8" ht="18" customHeight="1" x14ac:dyDescent="0.15">
      <c r="A1338" s="233"/>
      <c r="B1338" s="236"/>
      <c r="C1338" s="239"/>
      <c r="D1338" s="242"/>
      <c r="E1338" s="244" t="s">
        <v>43</v>
      </c>
      <c r="F1338" s="246" t="s">
        <v>42</v>
      </c>
      <c r="G1338" s="246" t="s">
        <v>41</v>
      </c>
      <c r="H1338" s="248" t="s">
        <v>40</v>
      </c>
    </row>
    <row r="1339" spans="1:8" ht="18" customHeight="1" thickBot="1" x14ac:dyDescent="0.2">
      <c r="A1339" s="234"/>
      <c r="B1339" s="237"/>
      <c r="C1339" s="240"/>
      <c r="D1339" s="243"/>
      <c r="E1339" s="245"/>
      <c r="F1339" s="247"/>
      <c r="G1339" s="247"/>
      <c r="H1339" s="249"/>
    </row>
    <row r="1340" spans="1:8" s="60" customFormat="1" ht="18" customHeight="1" thickTop="1" x14ac:dyDescent="0.15">
      <c r="A1340" s="120"/>
      <c r="B1340" s="121"/>
      <c r="C1340" s="52"/>
      <c r="D1340" s="51" t="s">
        <v>39</v>
      </c>
      <c r="E1340" s="50" t="s">
        <v>39</v>
      </c>
      <c r="F1340" s="49" t="s">
        <v>39</v>
      </c>
      <c r="G1340" s="49" t="s">
        <v>39</v>
      </c>
      <c r="H1340" s="48" t="s">
        <v>39</v>
      </c>
    </row>
    <row r="1341" spans="1:8" ht="21.75" customHeight="1" x14ac:dyDescent="0.15">
      <c r="A1341" s="250" t="s">
        <v>38</v>
      </c>
      <c r="B1341" s="61" t="s">
        <v>37</v>
      </c>
      <c r="C1341" s="62">
        <v>3888</v>
      </c>
      <c r="D1341" s="63">
        <f>QUOTIENT(754871018748898,1000000)</f>
        <v>754871018</v>
      </c>
      <c r="E1341" s="63">
        <f>QUOTIENT(276620348828593,1000000)</f>
        <v>276620348</v>
      </c>
      <c r="F1341" s="64">
        <f>QUOTIENT(236787684294296,1000000)</f>
        <v>236787684</v>
      </c>
      <c r="G1341" s="64">
        <f>QUOTIENT(231201571179985,1000000)</f>
        <v>231201571</v>
      </c>
      <c r="H1341" s="65">
        <f>QUOTIENT(10261414446022,1000000)</f>
        <v>10261414</v>
      </c>
    </row>
    <row r="1342" spans="1:8" ht="21.75" customHeight="1" x14ac:dyDescent="0.15">
      <c r="A1342" s="250"/>
      <c r="B1342" s="66" t="s">
        <v>36</v>
      </c>
      <c r="C1342" s="67">
        <v>20</v>
      </c>
      <c r="D1342" s="68">
        <f>QUOTIENT(102342863000,1000000)</f>
        <v>102342</v>
      </c>
      <c r="E1342" s="68">
        <f>QUOTIENT(28357698000,1000000)</f>
        <v>28357</v>
      </c>
      <c r="F1342" s="69">
        <f>QUOTIENT(72138704000,1000000)</f>
        <v>72138</v>
      </c>
      <c r="G1342" s="69">
        <f>QUOTIENT(1841421500,1000000)</f>
        <v>1841</v>
      </c>
      <c r="H1342" s="70">
        <f>QUOTIENT(5039500,1000000)</f>
        <v>5</v>
      </c>
    </row>
    <row r="1343" spans="1:8" ht="21.75" customHeight="1" x14ac:dyDescent="0.15">
      <c r="A1343" s="250"/>
      <c r="B1343" s="66" t="s">
        <v>35</v>
      </c>
      <c r="C1343" s="67">
        <v>103</v>
      </c>
      <c r="D1343" s="68">
        <f>QUOTIENT(0,1000000)</f>
        <v>0</v>
      </c>
      <c r="E1343" s="68">
        <f>QUOTIENT(0,1000000)</f>
        <v>0</v>
      </c>
      <c r="F1343" s="69">
        <f>QUOTIENT(0,1000000)</f>
        <v>0</v>
      </c>
      <c r="G1343" s="69">
        <f>QUOTIENT(0,1000000)</f>
        <v>0</v>
      </c>
      <c r="H1343" s="70">
        <f>QUOTIENT(0,1000000)</f>
        <v>0</v>
      </c>
    </row>
    <row r="1344" spans="1:8" ht="21.75" customHeight="1" x14ac:dyDescent="0.15">
      <c r="A1344" s="250"/>
      <c r="B1344" s="71" t="s">
        <v>34</v>
      </c>
      <c r="C1344" s="72">
        <v>1</v>
      </c>
      <c r="D1344" s="73">
        <f>QUOTIENT(170823146400,1000000)</f>
        <v>170823</v>
      </c>
      <c r="E1344" s="73">
        <f>QUOTIENT(126668592000,1000000)</f>
        <v>126668</v>
      </c>
      <c r="F1344" s="74">
        <f>QUOTIENT(8376876000,1000000)</f>
        <v>8376</v>
      </c>
      <c r="G1344" s="74">
        <f>QUOTIENT(31520498400,1000000)</f>
        <v>31520</v>
      </c>
      <c r="H1344" s="75">
        <f>QUOTIENT(4257180000,1000000)</f>
        <v>4257</v>
      </c>
    </row>
    <row r="1345" spans="1:8" ht="21.75" customHeight="1" x14ac:dyDescent="0.15">
      <c r="A1345" s="250"/>
      <c r="B1345" s="66" t="s">
        <v>33</v>
      </c>
      <c r="C1345" s="67">
        <v>69</v>
      </c>
      <c r="D1345" s="68">
        <f>QUOTIENT(17745588065300,1000000)</f>
        <v>17745588</v>
      </c>
      <c r="E1345" s="68">
        <f>QUOTIENT(4536605416860,1000000)</f>
        <v>4536605</v>
      </c>
      <c r="F1345" s="69">
        <f>QUOTIENT(4995883321450,1000000)</f>
        <v>4995883</v>
      </c>
      <c r="G1345" s="69">
        <f>QUOTIENT(8003039869740,1000000)</f>
        <v>8003039</v>
      </c>
      <c r="H1345" s="70">
        <f>QUOTIENT(210059457250,1000000)</f>
        <v>210059</v>
      </c>
    </row>
    <row r="1346" spans="1:8" ht="21.75" customHeight="1" x14ac:dyDescent="0.15">
      <c r="A1346" s="250"/>
      <c r="B1346" s="76" t="s">
        <v>32</v>
      </c>
      <c r="C1346" s="67">
        <v>208</v>
      </c>
      <c r="D1346" s="68">
        <f>QUOTIENT(60512917415717,1000000)</f>
        <v>60512917</v>
      </c>
      <c r="E1346" s="68">
        <f>QUOTIENT(4884181374712,1000000)</f>
        <v>4884181</v>
      </c>
      <c r="F1346" s="69">
        <f>QUOTIENT(1510587904769,1000000)</f>
        <v>1510587</v>
      </c>
      <c r="G1346" s="69">
        <f>QUOTIENT(53910892643565,1000000)</f>
        <v>53910892</v>
      </c>
      <c r="H1346" s="70">
        <f>QUOTIENT(207255492671,1000000)</f>
        <v>207255</v>
      </c>
    </row>
    <row r="1347" spans="1:8" ht="21.75" customHeight="1" x14ac:dyDescent="0.15">
      <c r="A1347" s="251"/>
      <c r="B1347" s="77" t="s">
        <v>31</v>
      </c>
      <c r="C1347" s="72">
        <v>44</v>
      </c>
      <c r="D1347" s="73">
        <f>QUOTIENT(439325013030,1000000)</f>
        <v>439325</v>
      </c>
      <c r="E1347" s="73">
        <f>QUOTIENT(344196042679,1000000)</f>
        <v>344196</v>
      </c>
      <c r="F1347" s="74">
        <f>QUOTIENT(7514022462,1000000)</f>
        <v>7514</v>
      </c>
      <c r="G1347" s="74">
        <f>QUOTIENT(72089012600,1000000)</f>
        <v>72089</v>
      </c>
      <c r="H1347" s="75">
        <f>QUOTIENT(15525935289,1000000)</f>
        <v>15525</v>
      </c>
    </row>
    <row r="1348" spans="1:8" ht="21.75" customHeight="1" x14ac:dyDescent="0.15">
      <c r="A1348" s="30" t="s">
        <v>30</v>
      </c>
      <c r="B1348" s="78" t="s">
        <v>29</v>
      </c>
      <c r="C1348" s="79">
        <v>28</v>
      </c>
      <c r="D1348" s="80">
        <f>QUOTIENT(112255781069,1000000)</f>
        <v>112255</v>
      </c>
      <c r="E1348" s="80">
        <f>QUOTIENT(98015911367,1000000)</f>
        <v>98015</v>
      </c>
      <c r="F1348" s="81">
        <f>QUOTIENT(646833362,1000000)</f>
        <v>646</v>
      </c>
      <c r="G1348" s="81">
        <f>QUOTIENT(419787600,1000000)</f>
        <v>419</v>
      </c>
      <c r="H1348" s="82">
        <f>QUOTIENT(13173248740,1000000)</f>
        <v>13173</v>
      </c>
    </row>
    <row r="1349" spans="1:8" ht="21.75" customHeight="1" x14ac:dyDescent="0.15">
      <c r="A1349" s="252" t="s">
        <v>28</v>
      </c>
      <c r="B1349" s="17" t="s">
        <v>27</v>
      </c>
      <c r="C1349" s="16">
        <v>3338</v>
      </c>
      <c r="D1349" s="83">
        <f>QUOTIENT(64116651570000,1000000)</f>
        <v>64116651</v>
      </c>
      <c r="E1349" s="83">
        <f>QUOTIENT(9685954010000,1000000)</f>
        <v>9685954</v>
      </c>
      <c r="F1349" s="84">
        <f>QUOTIENT(28973830720000,1000000)</f>
        <v>28973830</v>
      </c>
      <c r="G1349" s="84">
        <f>QUOTIENT(25339193810000,1000000)</f>
        <v>25339193</v>
      </c>
      <c r="H1349" s="85">
        <f>QUOTIENT(117673030000,1000000)</f>
        <v>117673</v>
      </c>
    </row>
    <row r="1350" spans="1:8" ht="21.75" customHeight="1" x14ac:dyDescent="0.15">
      <c r="A1350" s="250"/>
      <c r="B1350" s="23" t="s">
        <v>26</v>
      </c>
      <c r="C1350" s="22">
        <v>3547</v>
      </c>
      <c r="D1350" s="86">
        <f>QUOTIENT(15297441759000,1000000)</f>
        <v>15297441</v>
      </c>
      <c r="E1350" s="86">
        <f>QUOTIENT(512448482000,1000000)</f>
        <v>512448</v>
      </c>
      <c r="F1350" s="87">
        <f>QUOTIENT(10198529002000,1000000)</f>
        <v>10198529</v>
      </c>
      <c r="G1350" s="87">
        <f>QUOTIENT(4575617275000,1000000)</f>
        <v>4575617</v>
      </c>
      <c r="H1350" s="88">
        <f>QUOTIENT(10847000000,1000000)</f>
        <v>10847</v>
      </c>
    </row>
    <row r="1351" spans="1:8" ht="21.75" customHeight="1" x14ac:dyDescent="0.15">
      <c r="A1351" s="250"/>
      <c r="B1351" s="24" t="s">
        <v>25</v>
      </c>
      <c r="C1351" s="22">
        <v>595</v>
      </c>
      <c r="D1351" s="86">
        <f>QUOTIENT(24919680000000,1000000)</f>
        <v>24919680</v>
      </c>
      <c r="E1351" s="86">
        <f>QUOTIENT(1763150100000,1000000)</f>
        <v>1763150</v>
      </c>
      <c r="F1351" s="87">
        <f>QUOTIENT(11363399600000,1000000)</f>
        <v>11363399</v>
      </c>
      <c r="G1351" s="87">
        <f>QUOTIENT(11713655300000,1000000)</f>
        <v>11713655</v>
      </c>
      <c r="H1351" s="88">
        <f>QUOTIENT(79475000000,1000000)</f>
        <v>79475</v>
      </c>
    </row>
    <row r="1352" spans="1:8" ht="21.75" customHeight="1" x14ac:dyDescent="0.15">
      <c r="A1352" s="250"/>
      <c r="B1352" s="23" t="s">
        <v>24</v>
      </c>
      <c r="C1352" s="22">
        <v>2074</v>
      </c>
      <c r="D1352" s="86">
        <f>QUOTIENT(58680000000000,1000000)</f>
        <v>58680000</v>
      </c>
      <c r="E1352" s="86">
        <f>QUOTIENT(6924104300000,1000000)</f>
        <v>6924104</v>
      </c>
      <c r="F1352" s="87">
        <f>QUOTIENT(19795325400000,1000000)</f>
        <v>19795325</v>
      </c>
      <c r="G1352" s="87">
        <f>QUOTIENT(31957320300000,1000000)</f>
        <v>31957320</v>
      </c>
      <c r="H1352" s="88">
        <f>QUOTIENT(3250000000,1000000)</f>
        <v>3250</v>
      </c>
    </row>
    <row r="1353" spans="1:8" ht="21.75" customHeight="1" x14ac:dyDescent="0.15">
      <c r="A1353" s="250"/>
      <c r="B1353" s="23" t="s">
        <v>23</v>
      </c>
      <c r="C1353" s="22">
        <v>463</v>
      </c>
      <c r="D1353" s="86">
        <f>QUOTIENT(4880672000000,1000000)</f>
        <v>4880672</v>
      </c>
      <c r="E1353" s="86">
        <f>QUOTIENT(340233500000,1000000)</f>
        <v>340233</v>
      </c>
      <c r="F1353" s="87">
        <f>QUOTIENT(97366100000,1000000)</f>
        <v>97366</v>
      </c>
      <c r="G1353" s="87">
        <f>QUOTIENT(4443072400000,1000000)</f>
        <v>4443072</v>
      </c>
      <c r="H1353" s="88">
        <f>QUOTIENT(0,1000000)</f>
        <v>0</v>
      </c>
    </row>
    <row r="1354" spans="1:8" ht="21.75" customHeight="1" x14ac:dyDescent="0.15">
      <c r="A1354" s="250"/>
      <c r="B1354" s="23" t="s">
        <v>22</v>
      </c>
      <c r="C1354" s="22">
        <v>157</v>
      </c>
      <c r="D1354" s="86">
        <f>QUOTIENT(1293300000000,1000000)</f>
        <v>1293300</v>
      </c>
      <c r="E1354" s="86">
        <f>QUOTIENT(309070000000,1000000)</f>
        <v>309070</v>
      </c>
      <c r="F1354" s="87">
        <f>QUOTIENT(454000000000,1000000)</f>
        <v>454000</v>
      </c>
      <c r="G1354" s="87">
        <f>QUOTIENT(530230000000,1000000)</f>
        <v>530230</v>
      </c>
      <c r="H1354" s="88">
        <f>QUOTIENT(0,1000000)</f>
        <v>0</v>
      </c>
    </row>
    <row r="1355" spans="1:8" ht="21.75" customHeight="1" x14ac:dyDescent="0.15">
      <c r="A1355" s="250"/>
      <c r="B1355" s="23" t="s">
        <v>21</v>
      </c>
      <c r="C1355" s="22">
        <v>23</v>
      </c>
      <c r="D1355" s="86">
        <f>QUOTIENT(151996000000,1000000)</f>
        <v>151996</v>
      </c>
      <c r="E1355" s="86">
        <f>QUOTIENT(115197000000,1000000)</f>
        <v>115197</v>
      </c>
      <c r="F1355" s="87">
        <f>QUOTIENT(21793000000,1000000)</f>
        <v>21793</v>
      </c>
      <c r="G1355" s="87">
        <f>QUOTIENT(15006000000,1000000)</f>
        <v>15006</v>
      </c>
      <c r="H1355" s="88">
        <f>QUOTIENT(0,1000000)</f>
        <v>0</v>
      </c>
    </row>
    <row r="1356" spans="1:8" ht="21.75" customHeight="1" x14ac:dyDescent="0.15">
      <c r="A1356" s="250"/>
      <c r="B1356" s="23" t="s">
        <v>20</v>
      </c>
      <c r="C1356" s="22">
        <v>0</v>
      </c>
      <c r="D1356" s="86">
        <f>QUOTIENT(0,1000000)</f>
        <v>0</v>
      </c>
      <c r="E1356" s="86">
        <f>QUOTIENT(0,1000000)</f>
        <v>0</v>
      </c>
      <c r="F1356" s="87">
        <f>QUOTIENT(0,1000000)</f>
        <v>0</v>
      </c>
      <c r="G1356" s="87">
        <f>QUOTIENT(0,1000000)</f>
        <v>0</v>
      </c>
      <c r="H1356" s="88">
        <f>QUOTIENT(0,1000000)</f>
        <v>0</v>
      </c>
    </row>
    <row r="1357" spans="1:8" ht="21.75" customHeight="1" x14ac:dyDescent="0.15">
      <c r="A1357" s="250"/>
      <c r="B1357" s="23" t="s">
        <v>19</v>
      </c>
      <c r="C1357" s="22">
        <v>219</v>
      </c>
      <c r="D1357" s="86">
        <f>QUOTIENT(5696220000000,1000000)</f>
        <v>5696220</v>
      </c>
      <c r="E1357" s="86">
        <f>QUOTIENT(614030000000,1000000)</f>
        <v>614030</v>
      </c>
      <c r="F1357" s="87">
        <f>QUOTIENT(2762730000000,1000000)</f>
        <v>2762730</v>
      </c>
      <c r="G1357" s="87">
        <f>QUOTIENT(2272040000000,1000000)</f>
        <v>2272040</v>
      </c>
      <c r="H1357" s="88">
        <f>QUOTIENT(47420000000,1000000)</f>
        <v>47420</v>
      </c>
    </row>
    <row r="1358" spans="1:8" ht="21.75" customHeight="1" x14ac:dyDescent="0.15">
      <c r="A1358" s="250"/>
      <c r="B1358" s="23" t="s">
        <v>18</v>
      </c>
      <c r="C1358" s="22">
        <v>3857</v>
      </c>
      <c r="D1358" s="86">
        <f>QUOTIENT(79237401500000,1000000)</f>
        <v>79237401</v>
      </c>
      <c r="E1358" s="86">
        <f>QUOTIENT(18759948800000,1000000)</f>
        <v>18759948</v>
      </c>
      <c r="F1358" s="87">
        <f>QUOTIENT(30352447200000,1000000)</f>
        <v>30352447</v>
      </c>
      <c r="G1358" s="87">
        <f>QUOTIENT(29585377400000,1000000)</f>
        <v>29585377</v>
      </c>
      <c r="H1358" s="88">
        <f>QUOTIENT(539628100000,1000000)</f>
        <v>539628</v>
      </c>
    </row>
    <row r="1359" spans="1:8" ht="21.75" customHeight="1" x14ac:dyDescent="0.15">
      <c r="A1359" s="250"/>
      <c r="B1359" s="23" t="s">
        <v>17</v>
      </c>
      <c r="C1359" s="22">
        <v>665</v>
      </c>
      <c r="D1359" s="86">
        <f>QUOTIENT(15494260000000,1000000)</f>
        <v>15494260</v>
      </c>
      <c r="E1359" s="86">
        <f>QUOTIENT(3570047200000,1000000)</f>
        <v>3570047</v>
      </c>
      <c r="F1359" s="87">
        <f>QUOTIENT(6245930400000,1000000)</f>
        <v>6245930</v>
      </c>
      <c r="G1359" s="87">
        <f>QUOTIENT(5632686300000,1000000)</f>
        <v>5632686</v>
      </c>
      <c r="H1359" s="88">
        <f>QUOTIENT(45596100000,1000000)</f>
        <v>45596</v>
      </c>
    </row>
    <row r="1360" spans="1:8" ht="21.75" customHeight="1" x14ac:dyDescent="0.15">
      <c r="A1360" s="250"/>
      <c r="B1360" s="23" t="s">
        <v>16</v>
      </c>
      <c r="C1360" s="22">
        <v>63126</v>
      </c>
      <c r="D1360" s="86">
        <f>QUOTIENT(16038265046000,1000000)</f>
        <v>16038265</v>
      </c>
      <c r="E1360" s="86">
        <f>QUOTIENT(4584674233000,1000000)</f>
        <v>4584674</v>
      </c>
      <c r="F1360" s="87">
        <f>QUOTIENT(5107568134000,1000000)</f>
        <v>5107568</v>
      </c>
      <c r="G1360" s="87">
        <f>QUOTIENT(6341332679000,1000000)</f>
        <v>6341332</v>
      </c>
      <c r="H1360" s="88">
        <f>QUOTIENT(4690000000,1000000)</f>
        <v>4690</v>
      </c>
    </row>
    <row r="1361" spans="1:8" ht="21.75" customHeight="1" x14ac:dyDescent="0.15">
      <c r="A1361" s="250"/>
      <c r="B1361" s="23" t="s">
        <v>15</v>
      </c>
      <c r="C1361" s="22">
        <v>543</v>
      </c>
      <c r="D1361" s="86">
        <f>QUOTIENT(4164761313000,1000000)</f>
        <v>4164761</v>
      </c>
      <c r="E1361" s="86">
        <f>QUOTIENT(3589386633000,1000000)</f>
        <v>3589386</v>
      </c>
      <c r="F1361" s="87">
        <f>QUOTIENT(460483421000,1000000)</f>
        <v>460483</v>
      </c>
      <c r="G1361" s="87">
        <f>QUOTIENT(114646259000,1000000)</f>
        <v>114646</v>
      </c>
      <c r="H1361" s="88">
        <f>QUOTIENT(245000000,1000000)</f>
        <v>245</v>
      </c>
    </row>
    <row r="1362" spans="1:8" ht="21.75" customHeight="1" x14ac:dyDescent="0.15">
      <c r="A1362" s="250"/>
      <c r="B1362" s="23" t="s">
        <v>14</v>
      </c>
      <c r="C1362" s="22">
        <v>37</v>
      </c>
      <c r="D1362" s="86">
        <f>QUOTIENT(112700000000,1000000)</f>
        <v>112700</v>
      </c>
      <c r="E1362" s="86">
        <f>QUOTIENT(21200000000,1000000)</f>
        <v>21200</v>
      </c>
      <c r="F1362" s="87">
        <f>QUOTIENT(59000000000,1000000)</f>
        <v>59000</v>
      </c>
      <c r="G1362" s="87">
        <f>QUOTIENT(32500000000,1000000)</f>
        <v>32500</v>
      </c>
      <c r="H1362" s="88">
        <f>QUOTIENT(0,1000000)</f>
        <v>0</v>
      </c>
    </row>
    <row r="1363" spans="1:8" ht="21.75" customHeight="1" x14ac:dyDescent="0.15">
      <c r="A1363" s="250"/>
      <c r="B1363" s="23" t="s">
        <v>13</v>
      </c>
      <c r="C1363" s="22">
        <v>660</v>
      </c>
      <c r="D1363" s="86">
        <f>QUOTIENT(2949542927000,1000000)</f>
        <v>2949542</v>
      </c>
      <c r="E1363" s="86">
        <f>QUOTIENT(214647677000,1000000)</f>
        <v>214647</v>
      </c>
      <c r="F1363" s="87">
        <f>QUOTIENT(1569990460000,1000000)</f>
        <v>1569990</v>
      </c>
      <c r="G1363" s="87">
        <f>QUOTIENT(1164904790000,1000000)</f>
        <v>1164904</v>
      </c>
      <c r="H1363" s="88">
        <f>QUOTIENT(0,1000000)</f>
        <v>0</v>
      </c>
    </row>
    <row r="1364" spans="1:8" ht="21.75" customHeight="1" x14ac:dyDescent="0.15">
      <c r="A1364" s="250"/>
      <c r="B1364" s="23" t="s">
        <v>12</v>
      </c>
      <c r="C1364" s="22">
        <v>258</v>
      </c>
      <c r="D1364" s="86">
        <f>QUOTIENT(7057600000000,1000000)</f>
        <v>7057600</v>
      </c>
      <c r="E1364" s="86">
        <f>QUOTIENT(921574000000,1000000)</f>
        <v>921574</v>
      </c>
      <c r="F1364" s="87">
        <f>QUOTIENT(2273254000000,1000000)</f>
        <v>2273254</v>
      </c>
      <c r="G1364" s="87">
        <f>QUOTIENT(3824472000000,1000000)</f>
        <v>3824472</v>
      </c>
      <c r="H1364" s="88">
        <f>QUOTIENT(38300000000,1000000)</f>
        <v>38300</v>
      </c>
    </row>
    <row r="1365" spans="1:8" ht="21.75" customHeight="1" x14ac:dyDescent="0.15">
      <c r="A1365" s="250"/>
      <c r="B1365" s="23" t="s">
        <v>11</v>
      </c>
      <c r="C1365" s="22">
        <v>60</v>
      </c>
      <c r="D1365" s="86">
        <f>QUOTIENT(1345850000000,1000000)</f>
        <v>1345850</v>
      </c>
      <c r="E1365" s="86">
        <f>QUOTIENT(128600000000,1000000)</f>
        <v>128600</v>
      </c>
      <c r="F1365" s="87">
        <f>QUOTIENT(579550000000,1000000)</f>
        <v>579550</v>
      </c>
      <c r="G1365" s="87">
        <f>QUOTIENT(637700000000,1000000)</f>
        <v>637700</v>
      </c>
      <c r="H1365" s="88">
        <f>QUOTIENT(0,1000000)</f>
        <v>0</v>
      </c>
    </row>
    <row r="1366" spans="1:8" ht="21.75" customHeight="1" x14ac:dyDescent="0.15">
      <c r="A1366" s="250"/>
      <c r="B1366" s="23" t="s">
        <v>10</v>
      </c>
      <c r="C1366" s="22">
        <v>0</v>
      </c>
      <c r="D1366" s="86">
        <f t="shared" ref="D1366:G1368" si="35">QUOTIENT(0,1000000)</f>
        <v>0</v>
      </c>
      <c r="E1366" s="86">
        <f t="shared" si="35"/>
        <v>0</v>
      </c>
      <c r="F1366" s="87">
        <f t="shared" si="35"/>
        <v>0</v>
      </c>
      <c r="G1366" s="87">
        <f t="shared" si="35"/>
        <v>0</v>
      </c>
      <c r="H1366" s="88">
        <f>QUOTIENT(0,1000000)</f>
        <v>0</v>
      </c>
    </row>
    <row r="1367" spans="1:8" ht="21.75" customHeight="1" x14ac:dyDescent="0.15">
      <c r="A1367" s="250"/>
      <c r="B1367" s="23" t="s">
        <v>9</v>
      </c>
      <c r="C1367" s="22">
        <v>0</v>
      </c>
      <c r="D1367" s="86">
        <f t="shared" si="35"/>
        <v>0</v>
      </c>
      <c r="E1367" s="86">
        <f t="shared" si="35"/>
        <v>0</v>
      </c>
      <c r="F1367" s="87">
        <f t="shared" si="35"/>
        <v>0</v>
      </c>
      <c r="G1367" s="87">
        <f t="shared" si="35"/>
        <v>0</v>
      </c>
      <c r="H1367" s="88">
        <f>QUOTIENT(0,1000000)</f>
        <v>0</v>
      </c>
    </row>
    <row r="1368" spans="1:8" ht="21.75" customHeight="1" x14ac:dyDescent="0.15">
      <c r="A1368" s="250"/>
      <c r="B1368" s="23" t="s">
        <v>8</v>
      </c>
      <c r="C1368" s="22">
        <v>0</v>
      </c>
      <c r="D1368" s="86">
        <f t="shared" si="35"/>
        <v>0</v>
      </c>
      <c r="E1368" s="86">
        <f t="shared" si="35"/>
        <v>0</v>
      </c>
      <c r="F1368" s="87">
        <f t="shared" si="35"/>
        <v>0</v>
      </c>
      <c r="G1368" s="87">
        <f t="shared" si="35"/>
        <v>0</v>
      </c>
      <c r="H1368" s="88">
        <f>QUOTIENT(0,1000000)</f>
        <v>0</v>
      </c>
    </row>
    <row r="1369" spans="1:8" ht="21.75" customHeight="1" x14ac:dyDescent="0.15">
      <c r="A1369" s="251"/>
      <c r="B1369" s="23" t="s">
        <v>7</v>
      </c>
      <c r="C1369" s="22">
        <v>34</v>
      </c>
      <c r="D1369" s="86">
        <f>QUOTIENT(17619000000,1000000)</f>
        <v>17619</v>
      </c>
      <c r="E1369" s="86">
        <f>QUOTIENT(584000000,1000000)</f>
        <v>584</v>
      </c>
      <c r="F1369" s="87">
        <f>QUOTIENT(14000000000,1000000)</f>
        <v>14000</v>
      </c>
      <c r="G1369" s="87">
        <f>QUOTIENT(3035000000,1000000)</f>
        <v>3035</v>
      </c>
      <c r="H1369" s="88">
        <f>QUOTIENT(0,1000000)</f>
        <v>0</v>
      </c>
    </row>
    <row r="1370" spans="1:8" ht="21.75" customHeight="1" x14ac:dyDescent="0.15">
      <c r="A1370" s="18" t="s">
        <v>6</v>
      </c>
      <c r="B1370" s="17" t="s">
        <v>5</v>
      </c>
      <c r="C1370" s="16">
        <v>3308</v>
      </c>
      <c r="D1370" s="80">
        <v>24839220</v>
      </c>
      <c r="E1370" s="80">
        <v>960500</v>
      </c>
      <c r="F1370" s="81">
        <v>14530424</v>
      </c>
      <c r="G1370" s="81">
        <v>7673996</v>
      </c>
      <c r="H1370" s="82">
        <v>1674300</v>
      </c>
    </row>
    <row r="1371" spans="1:8" ht="21.75" customHeight="1" x14ac:dyDescent="0.15">
      <c r="A1371" s="252" t="s">
        <v>4</v>
      </c>
      <c r="B1371" s="12" t="s">
        <v>3</v>
      </c>
      <c r="C1371" s="11">
        <v>5711</v>
      </c>
      <c r="D1371" s="89">
        <v>97325039</v>
      </c>
      <c r="E1371" s="89">
        <v>61036637</v>
      </c>
      <c r="F1371" s="90">
        <v>16689142</v>
      </c>
      <c r="G1371" s="90">
        <v>12319945</v>
      </c>
      <c r="H1371" s="91">
        <v>7279313</v>
      </c>
    </row>
    <row r="1372" spans="1:8" ht="21.75" customHeight="1" thickBot="1" x14ac:dyDescent="0.2">
      <c r="A1372" s="253"/>
      <c r="B1372" s="7" t="s">
        <v>1153</v>
      </c>
      <c r="C1372" s="6">
        <v>8007</v>
      </c>
      <c r="D1372" s="92" t="s">
        <v>2178</v>
      </c>
      <c r="E1372" s="92" t="s">
        <v>2178</v>
      </c>
      <c r="F1372" s="92" t="s">
        <v>2178</v>
      </c>
      <c r="G1372" s="92" t="s">
        <v>2178</v>
      </c>
      <c r="H1372" s="93" t="s">
        <v>2178</v>
      </c>
    </row>
    <row r="1373" spans="1:8" ht="18" customHeight="1" x14ac:dyDescent="0.15">
      <c r="A1373" s="3" t="s">
        <v>1155</v>
      </c>
      <c r="B1373" s="2"/>
      <c r="C1373" s="2"/>
      <c r="D1373" s="2"/>
      <c r="E1373" s="2"/>
      <c r="F1373" s="2"/>
      <c r="G1373" s="2"/>
      <c r="H1373" s="2"/>
    </row>
    <row r="1374" spans="1:8" ht="18" customHeight="1" x14ac:dyDescent="0.15">
      <c r="A1374" s="3" t="s">
        <v>2587</v>
      </c>
      <c r="B1374" s="2"/>
      <c r="C1374" s="2"/>
      <c r="D1374" s="2"/>
      <c r="E1374" s="2"/>
      <c r="F1374" s="2"/>
      <c r="G1374" s="2"/>
      <c r="H1374" s="2"/>
    </row>
    <row r="1375" spans="1:8" ht="18" customHeight="1" x14ac:dyDescent="0.15">
      <c r="A1375" s="3" t="s">
        <v>1156</v>
      </c>
      <c r="B1375" s="2"/>
      <c r="C1375" s="2"/>
      <c r="D1375" s="2"/>
      <c r="E1375" s="2"/>
      <c r="F1375" s="2"/>
      <c r="G1375" s="2"/>
      <c r="H1375" s="2"/>
    </row>
    <row r="1376" spans="1:8" ht="18" customHeight="1" x14ac:dyDescent="0.15">
      <c r="A1376" s="3" t="s">
        <v>2489</v>
      </c>
      <c r="B1376" s="2"/>
      <c r="C1376" s="2"/>
      <c r="D1376" s="2"/>
      <c r="E1376" s="2"/>
      <c r="F1376" s="2"/>
      <c r="G1376" s="2"/>
      <c r="H1376" s="2"/>
    </row>
    <row r="1377" spans="1:8" ht="24" x14ac:dyDescent="0.15">
      <c r="A1377" s="230" t="s">
        <v>2486</v>
      </c>
      <c r="B1377" s="230"/>
      <c r="C1377" s="230"/>
      <c r="D1377" s="230"/>
      <c r="E1377" s="230"/>
      <c r="F1377" s="230"/>
      <c r="G1377" s="230"/>
      <c r="H1377" s="230"/>
    </row>
    <row r="1378" spans="1:8" ht="18" customHeight="1" x14ac:dyDescent="0.15">
      <c r="A1378" s="231"/>
      <c r="B1378" s="231"/>
      <c r="C1378" s="231"/>
      <c r="D1378" s="231"/>
      <c r="E1378" s="231"/>
      <c r="F1378" s="231"/>
      <c r="G1378" s="231"/>
      <c r="H1378" s="231"/>
    </row>
    <row r="1379" spans="1:8" thickBot="1" x14ac:dyDescent="0.2">
      <c r="A1379" s="58" t="s">
        <v>48</v>
      </c>
    </row>
    <row r="1380" spans="1:8" ht="18" customHeight="1" x14ac:dyDescent="0.15">
      <c r="A1380" s="232" t="s">
        <v>47</v>
      </c>
      <c r="B1380" s="235" t="s">
        <v>46</v>
      </c>
      <c r="C1380" s="238" t="s">
        <v>45</v>
      </c>
      <c r="D1380" s="241" t="s">
        <v>44</v>
      </c>
      <c r="E1380" s="116"/>
      <c r="F1380" s="56"/>
      <c r="G1380" s="56"/>
      <c r="H1380" s="55"/>
    </row>
    <row r="1381" spans="1:8" ht="18" customHeight="1" x14ac:dyDescent="0.15">
      <c r="A1381" s="233"/>
      <c r="B1381" s="236"/>
      <c r="C1381" s="239"/>
      <c r="D1381" s="242"/>
      <c r="E1381" s="244" t="s">
        <v>43</v>
      </c>
      <c r="F1381" s="246" t="s">
        <v>42</v>
      </c>
      <c r="G1381" s="246" t="s">
        <v>41</v>
      </c>
      <c r="H1381" s="248" t="s">
        <v>40</v>
      </c>
    </row>
    <row r="1382" spans="1:8" ht="18" customHeight="1" thickBot="1" x14ac:dyDescent="0.2">
      <c r="A1382" s="234"/>
      <c r="B1382" s="237"/>
      <c r="C1382" s="240"/>
      <c r="D1382" s="243"/>
      <c r="E1382" s="245"/>
      <c r="F1382" s="247"/>
      <c r="G1382" s="247"/>
      <c r="H1382" s="249"/>
    </row>
    <row r="1383" spans="1:8" s="60" customFormat="1" ht="18" customHeight="1" thickTop="1" x14ac:dyDescent="0.15">
      <c r="A1383" s="117"/>
      <c r="B1383" s="118"/>
      <c r="C1383" s="52"/>
      <c r="D1383" s="51" t="s">
        <v>39</v>
      </c>
      <c r="E1383" s="50" t="s">
        <v>39</v>
      </c>
      <c r="F1383" s="49" t="s">
        <v>39</v>
      </c>
      <c r="G1383" s="49" t="s">
        <v>39</v>
      </c>
      <c r="H1383" s="48" t="s">
        <v>39</v>
      </c>
    </row>
    <row r="1384" spans="1:8" ht="21.75" customHeight="1" x14ac:dyDescent="0.15">
      <c r="A1384" s="250" t="s">
        <v>38</v>
      </c>
      <c r="B1384" s="61" t="s">
        <v>37</v>
      </c>
      <c r="C1384" s="62">
        <v>3890</v>
      </c>
      <c r="D1384" s="63">
        <f>QUOTIENT(732453757883947,1000000)</f>
        <v>732453757</v>
      </c>
      <c r="E1384" s="63">
        <f>QUOTIENT(267715621984392,1000000)</f>
        <v>267715621</v>
      </c>
      <c r="F1384" s="64">
        <f>QUOTIENT(230322139243650,1000000)</f>
        <v>230322139</v>
      </c>
      <c r="G1384" s="64">
        <f>QUOTIENT(224693000781461,1000000)</f>
        <v>224693000</v>
      </c>
      <c r="H1384" s="65">
        <f>QUOTIENT(9722995874443,1000000)</f>
        <v>9722995</v>
      </c>
    </row>
    <row r="1385" spans="1:8" ht="21.75" customHeight="1" x14ac:dyDescent="0.15">
      <c r="A1385" s="250"/>
      <c r="B1385" s="66" t="s">
        <v>36</v>
      </c>
      <c r="C1385" s="67">
        <v>19</v>
      </c>
      <c r="D1385" s="68">
        <f>QUOTIENT(119797771500,1000000)</f>
        <v>119797</v>
      </c>
      <c r="E1385" s="68">
        <f>QUOTIENT(28445133000,1000000)</f>
        <v>28445</v>
      </c>
      <c r="F1385" s="69">
        <f>QUOTIENT(89469453500,1000000)</f>
        <v>89469</v>
      </c>
      <c r="G1385" s="69">
        <f>QUOTIENT(1878146000,1000000)</f>
        <v>1878</v>
      </c>
      <c r="H1385" s="70">
        <f>QUOTIENT(5039000,1000000)</f>
        <v>5</v>
      </c>
    </row>
    <row r="1386" spans="1:8" ht="21.75" customHeight="1" x14ac:dyDescent="0.15">
      <c r="A1386" s="250"/>
      <c r="B1386" s="66" t="s">
        <v>35</v>
      </c>
      <c r="C1386" s="67">
        <v>106</v>
      </c>
      <c r="D1386" s="68">
        <f>QUOTIENT(0,1000000)</f>
        <v>0</v>
      </c>
      <c r="E1386" s="68">
        <f>QUOTIENT(0,1000000)</f>
        <v>0</v>
      </c>
      <c r="F1386" s="69">
        <f>QUOTIENT(0,1000000)</f>
        <v>0</v>
      </c>
      <c r="G1386" s="69">
        <f>QUOTIENT(0,1000000)</f>
        <v>0</v>
      </c>
      <c r="H1386" s="70">
        <f>QUOTIENT(0,1000000)</f>
        <v>0</v>
      </c>
    </row>
    <row r="1387" spans="1:8" ht="21.75" customHeight="1" x14ac:dyDescent="0.15">
      <c r="A1387" s="250"/>
      <c r="B1387" s="71" t="s">
        <v>34</v>
      </c>
      <c r="C1387" s="72">
        <v>1</v>
      </c>
      <c r="D1387" s="73">
        <f>QUOTIENT(169619169000,1000000)</f>
        <v>169619</v>
      </c>
      <c r="E1387" s="73">
        <f>QUOTIENT(125778215000,1000000)</f>
        <v>125778</v>
      </c>
      <c r="F1387" s="74">
        <f>QUOTIENT(8318793000,1000000)</f>
        <v>8318</v>
      </c>
      <c r="G1387" s="74">
        <f>QUOTIENT(31298339000,1000000)</f>
        <v>31298</v>
      </c>
      <c r="H1387" s="75">
        <f>QUOTIENT(4223822000,1000000)</f>
        <v>4223</v>
      </c>
    </row>
    <row r="1388" spans="1:8" ht="21.75" customHeight="1" x14ac:dyDescent="0.15">
      <c r="A1388" s="250"/>
      <c r="B1388" s="66" t="s">
        <v>33</v>
      </c>
      <c r="C1388" s="67">
        <v>69</v>
      </c>
      <c r="D1388" s="68">
        <f>QUOTIENT(17822677942100,1000000)</f>
        <v>17822677</v>
      </c>
      <c r="E1388" s="68">
        <f>QUOTIENT(4591417113200,1000000)</f>
        <v>4591417</v>
      </c>
      <c r="F1388" s="69">
        <f>QUOTIENT(4982503423950,1000000)</f>
        <v>4982503</v>
      </c>
      <c r="G1388" s="69">
        <f>QUOTIENT(8048306264400,1000000)</f>
        <v>8048306</v>
      </c>
      <c r="H1388" s="70">
        <f>QUOTIENT(200451140550,1000000)</f>
        <v>200451</v>
      </c>
    </row>
    <row r="1389" spans="1:8" ht="21.75" customHeight="1" x14ac:dyDescent="0.15">
      <c r="A1389" s="250"/>
      <c r="B1389" s="76" t="s">
        <v>32</v>
      </c>
      <c r="C1389" s="67">
        <v>209</v>
      </c>
      <c r="D1389" s="68">
        <f>QUOTIENT(58859668496080,1000000)</f>
        <v>58859668</v>
      </c>
      <c r="E1389" s="68">
        <f>QUOTIENT(4764981027247,1000000)</f>
        <v>4764981</v>
      </c>
      <c r="F1389" s="69">
        <f>QUOTIENT(1449612887538,1000000)</f>
        <v>1449612</v>
      </c>
      <c r="G1389" s="69">
        <f>QUOTIENT(52456758482040,1000000)</f>
        <v>52456758</v>
      </c>
      <c r="H1389" s="70">
        <f>QUOTIENT(188316099255,1000000)</f>
        <v>188316</v>
      </c>
    </row>
    <row r="1390" spans="1:8" ht="21.75" customHeight="1" x14ac:dyDescent="0.15">
      <c r="A1390" s="251"/>
      <c r="B1390" s="77" t="s">
        <v>31</v>
      </c>
      <c r="C1390" s="72">
        <v>44</v>
      </c>
      <c r="D1390" s="73">
        <f>QUOTIENT(444319625049,1000000)</f>
        <v>444319</v>
      </c>
      <c r="E1390" s="73">
        <f>QUOTIENT(350696781675,1000000)</f>
        <v>350696</v>
      </c>
      <c r="F1390" s="74">
        <f>QUOTIENT(5180834297,1000000)</f>
        <v>5180</v>
      </c>
      <c r="G1390" s="74">
        <f>QUOTIENT(72129568800,1000000)</f>
        <v>72129</v>
      </c>
      <c r="H1390" s="75">
        <f>QUOTIENT(16312440277,1000000)</f>
        <v>16312</v>
      </c>
    </row>
    <row r="1391" spans="1:8" ht="21.75" customHeight="1" x14ac:dyDescent="0.15">
      <c r="A1391" s="30" t="s">
        <v>30</v>
      </c>
      <c r="B1391" s="78" t="s">
        <v>29</v>
      </c>
      <c r="C1391" s="79">
        <v>28</v>
      </c>
      <c r="D1391" s="80">
        <f>QUOTIENT(109576512192,1000000)</f>
        <v>109576</v>
      </c>
      <c r="E1391" s="80">
        <f>QUOTIENT(95856471605,1000000)</f>
        <v>95856</v>
      </c>
      <c r="F1391" s="81">
        <f>QUOTIENT(579946812,1000000)</f>
        <v>579</v>
      </c>
      <c r="G1391" s="81">
        <f>QUOTIENT(412578940,1000000)</f>
        <v>412</v>
      </c>
      <c r="H1391" s="82">
        <f>QUOTIENT(12727514835,1000000)</f>
        <v>12727</v>
      </c>
    </row>
    <row r="1392" spans="1:8" ht="21.75" customHeight="1" x14ac:dyDescent="0.15">
      <c r="A1392" s="252" t="s">
        <v>28</v>
      </c>
      <c r="B1392" s="17" t="s">
        <v>27</v>
      </c>
      <c r="C1392" s="16">
        <v>3321</v>
      </c>
      <c r="D1392" s="83">
        <f>QUOTIENT(63851651570000,1000000)</f>
        <v>63851651</v>
      </c>
      <c r="E1392" s="83">
        <f>QUOTIENT(9677481310000,1000000)</f>
        <v>9677481</v>
      </c>
      <c r="F1392" s="84">
        <f>QUOTIENT(28735844440000,1000000)</f>
        <v>28735844</v>
      </c>
      <c r="G1392" s="84">
        <f>QUOTIENT(25320751790000,1000000)</f>
        <v>25320751</v>
      </c>
      <c r="H1392" s="85">
        <f>QUOTIENT(117574030000,1000000)</f>
        <v>117574</v>
      </c>
    </row>
    <row r="1393" spans="1:8" ht="21.75" customHeight="1" x14ac:dyDescent="0.15">
      <c r="A1393" s="250"/>
      <c r="B1393" s="23" t="s">
        <v>26</v>
      </c>
      <c r="C1393" s="22">
        <v>3546</v>
      </c>
      <c r="D1393" s="86">
        <f>QUOTIENT(15291109759000,1000000)</f>
        <v>15291109</v>
      </c>
      <c r="E1393" s="86">
        <f>QUOTIENT(557588282000,1000000)</f>
        <v>557588</v>
      </c>
      <c r="F1393" s="87">
        <f>QUOTIENT(10159779002000,1000000)</f>
        <v>10159779</v>
      </c>
      <c r="G1393" s="87">
        <f>QUOTIENT(4562895475000,1000000)</f>
        <v>4562895</v>
      </c>
      <c r="H1393" s="88">
        <f>QUOTIENT(10847000000,1000000)</f>
        <v>10847</v>
      </c>
    </row>
    <row r="1394" spans="1:8" ht="21.75" customHeight="1" x14ac:dyDescent="0.15">
      <c r="A1394" s="250"/>
      <c r="B1394" s="24" t="s">
        <v>25</v>
      </c>
      <c r="C1394" s="22">
        <v>597</v>
      </c>
      <c r="D1394" s="86">
        <f>QUOTIENT(25104680000000,1000000)</f>
        <v>25104680</v>
      </c>
      <c r="E1394" s="86">
        <f>QUOTIENT(1785737800000,1000000)</f>
        <v>1785737</v>
      </c>
      <c r="F1394" s="87">
        <f>QUOTIENT(11530685200000,1000000)</f>
        <v>11530685</v>
      </c>
      <c r="G1394" s="87">
        <f>QUOTIENT(11709656000000,1000000)</f>
        <v>11709656</v>
      </c>
      <c r="H1394" s="88">
        <f>QUOTIENT(78601000000,1000000)</f>
        <v>78601</v>
      </c>
    </row>
    <row r="1395" spans="1:8" ht="21.75" customHeight="1" x14ac:dyDescent="0.15">
      <c r="A1395" s="250"/>
      <c r="B1395" s="23" t="s">
        <v>24</v>
      </c>
      <c r="C1395" s="22">
        <v>2070</v>
      </c>
      <c r="D1395" s="86">
        <f>QUOTIENT(58556600000000,1000000)</f>
        <v>58556600</v>
      </c>
      <c r="E1395" s="86">
        <f>QUOTIENT(6912254300000,1000000)</f>
        <v>6912254</v>
      </c>
      <c r="F1395" s="87">
        <f>QUOTIENT(19771455400000,1000000)</f>
        <v>19771455</v>
      </c>
      <c r="G1395" s="87">
        <f>QUOTIENT(31869640300000,1000000)</f>
        <v>31869640</v>
      </c>
      <c r="H1395" s="88">
        <f>QUOTIENT(3250000000,1000000)</f>
        <v>3250</v>
      </c>
    </row>
    <row r="1396" spans="1:8" ht="21.75" customHeight="1" x14ac:dyDescent="0.15">
      <c r="A1396" s="250"/>
      <c r="B1396" s="23" t="s">
        <v>23</v>
      </c>
      <c r="C1396" s="22">
        <v>460</v>
      </c>
      <c r="D1396" s="86">
        <f>QUOTIENT(4846672000000,1000000)</f>
        <v>4846672</v>
      </c>
      <c r="E1396" s="86">
        <f>QUOTIENT(342142700000,1000000)</f>
        <v>342142</v>
      </c>
      <c r="F1396" s="87">
        <f>QUOTIENT(97456900000,1000000)</f>
        <v>97456</v>
      </c>
      <c r="G1396" s="87">
        <f>QUOTIENT(4407072400000,1000000)</f>
        <v>4407072</v>
      </c>
      <c r="H1396" s="88">
        <f>QUOTIENT(0,1000000)</f>
        <v>0</v>
      </c>
    </row>
    <row r="1397" spans="1:8" ht="21.75" customHeight="1" x14ac:dyDescent="0.15">
      <c r="A1397" s="250"/>
      <c r="B1397" s="23" t="s">
        <v>22</v>
      </c>
      <c r="C1397" s="22">
        <v>157</v>
      </c>
      <c r="D1397" s="86">
        <f>QUOTIENT(1293300000000,1000000)</f>
        <v>1293300</v>
      </c>
      <c r="E1397" s="86">
        <f>QUOTIENT(307270000000,1000000)</f>
        <v>307270</v>
      </c>
      <c r="F1397" s="87">
        <f>QUOTIENT(454900000000,1000000)</f>
        <v>454900</v>
      </c>
      <c r="G1397" s="87">
        <f>QUOTIENT(531130000000,1000000)</f>
        <v>531130</v>
      </c>
      <c r="H1397" s="88">
        <f>QUOTIENT(0,1000000)</f>
        <v>0</v>
      </c>
    </row>
    <row r="1398" spans="1:8" ht="21.75" customHeight="1" x14ac:dyDescent="0.15">
      <c r="A1398" s="250"/>
      <c r="B1398" s="23" t="s">
        <v>21</v>
      </c>
      <c r="C1398" s="22">
        <v>23</v>
      </c>
      <c r="D1398" s="86">
        <f>QUOTIENT(151996000000,1000000)</f>
        <v>151996</v>
      </c>
      <c r="E1398" s="86">
        <f>QUOTIENT(115197000000,1000000)</f>
        <v>115197</v>
      </c>
      <c r="F1398" s="87">
        <f>QUOTIENT(21793000000,1000000)</f>
        <v>21793</v>
      </c>
      <c r="G1398" s="87">
        <f>QUOTIENT(15006000000,1000000)</f>
        <v>15006</v>
      </c>
      <c r="H1398" s="88">
        <f>QUOTIENT(0,1000000)</f>
        <v>0</v>
      </c>
    </row>
    <row r="1399" spans="1:8" ht="21.75" customHeight="1" x14ac:dyDescent="0.15">
      <c r="A1399" s="250"/>
      <c r="B1399" s="23" t="s">
        <v>20</v>
      </c>
      <c r="C1399" s="22">
        <v>0</v>
      </c>
      <c r="D1399" s="86">
        <f>QUOTIENT(0,1000000)</f>
        <v>0</v>
      </c>
      <c r="E1399" s="86">
        <f>QUOTIENT(0,1000000)</f>
        <v>0</v>
      </c>
      <c r="F1399" s="87">
        <f>QUOTIENT(0,1000000)</f>
        <v>0</v>
      </c>
      <c r="G1399" s="87">
        <f>QUOTIENT(0,1000000)</f>
        <v>0</v>
      </c>
      <c r="H1399" s="88">
        <f>QUOTIENT(0,1000000)</f>
        <v>0</v>
      </c>
    </row>
    <row r="1400" spans="1:8" ht="21.75" customHeight="1" x14ac:dyDescent="0.15">
      <c r="A1400" s="250"/>
      <c r="B1400" s="23" t="s">
        <v>19</v>
      </c>
      <c r="C1400" s="22">
        <v>220</v>
      </c>
      <c r="D1400" s="86">
        <f>QUOTIENT(5755530000000,1000000)</f>
        <v>5755530</v>
      </c>
      <c r="E1400" s="86">
        <f>QUOTIENT(615450000000,1000000)</f>
        <v>615450</v>
      </c>
      <c r="F1400" s="87">
        <f>QUOTIENT(2787570000000,1000000)</f>
        <v>2787570</v>
      </c>
      <c r="G1400" s="87">
        <f>QUOTIENT(2310090000000,1000000)</f>
        <v>2310090</v>
      </c>
      <c r="H1400" s="88">
        <f>QUOTIENT(42420000000,1000000)</f>
        <v>42420</v>
      </c>
    </row>
    <row r="1401" spans="1:8" ht="21.75" customHeight="1" x14ac:dyDescent="0.15">
      <c r="A1401" s="250"/>
      <c r="B1401" s="23" t="s">
        <v>18</v>
      </c>
      <c r="C1401" s="22">
        <v>3854</v>
      </c>
      <c r="D1401" s="86">
        <f>QUOTIENT(78910243500000,1000000)</f>
        <v>78910243</v>
      </c>
      <c r="E1401" s="86">
        <f>QUOTIENT(18633784200000,1000000)</f>
        <v>18633784</v>
      </c>
      <c r="F1401" s="87">
        <f>QUOTIENT(30153368600000,1000000)</f>
        <v>30153368</v>
      </c>
      <c r="G1401" s="87">
        <f>QUOTIENT(29552410600000,1000000)</f>
        <v>29552410</v>
      </c>
      <c r="H1401" s="88">
        <f>QUOTIENT(570680100000,1000000)</f>
        <v>570680</v>
      </c>
    </row>
    <row r="1402" spans="1:8" ht="21.75" customHeight="1" x14ac:dyDescent="0.15">
      <c r="A1402" s="250"/>
      <c r="B1402" s="23" t="s">
        <v>17</v>
      </c>
      <c r="C1402" s="22">
        <v>664</v>
      </c>
      <c r="D1402" s="86">
        <f>QUOTIENT(15344260000000,1000000)</f>
        <v>15344260</v>
      </c>
      <c r="E1402" s="86">
        <f>QUOTIENT(3529377600000,1000000)</f>
        <v>3529377</v>
      </c>
      <c r="F1402" s="87">
        <f>QUOTIENT(6146237800000,1000000)</f>
        <v>6146237</v>
      </c>
      <c r="G1402" s="87">
        <f>QUOTIENT(5621798500000,1000000)</f>
        <v>5621798</v>
      </c>
      <c r="H1402" s="88">
        <f>QUOTIENT(46846100000,1000000)</f>
        <v>46846</v>
      </c>
    </row>
    <row r="1403" spans="1:8" ht="21.75" customHeight="1" x14ac:dyDescent="0.15">
      <c r="A1403" s="250"/>
      <c r="B1403" s="23" t="s">
        <v>16</v>
      </c>
      <c r="C1403" s="22">
        <v>62988</v>
      </c>
      <c r="D1403" s="86">
        <f>QUOTIENT(15990408432000,1000000)</f>
        <v>15990408</v>
      </c>
      <c r="E1403" s="86">
        <f>QUOTIENT(4570193119000,1000000)</f>
        <v>4570193</v>
      </c>
      <c r="F1403" s="87">
        <f>QUOTIENT(5106412134000,1000000)</f>
        <v>5106412</v>
      </c>
      <c r="G1403" s="87">
        <f>QUOTIENT(6309158179000,1000000)</f>
        <v>6309158</v>
      </c>
      <c r="H1403" s="88">
        <f>QUOTIENT(4645000000,1000000)</f>
        <v>4645</v>
      </c>
    </row>
    <row r="1404" spans="1:8" ht="21.75" customHeight="1" x14ac:dyDescent="0.15">
      <c r="A1404" s="250"/>
      <c r="B1404" s="23" t="s">
        <v>15</v>
      </c>
      <c r="C1404" s="22">
        <v>544</v>
      </c>
      <c r="D1404" s="86">
        <f>QUOTIENT(4166780199000,1000000)</f>
        <v>4166780</v>
      </c>
      <c r="E1404" s="86">
        <f>QUOTIENT(3589605519000,1000000)</f>
        <v>3589605</v>
      </c>
      <c r="F1404" s="87">
        <f>QUOTIENT(463283421000,1000000)</f>
        <v>463283</v>
      </c>
      <c r="G1404" s="87">
        <f>QUOTIENT(113646259000,1000000)</f>
        <v>113646</v>
      </c>
      <c r="H1404" s="88">
        <f>QUOTIENT(245000000,1000000)</f>
        <v>245</v>
      </c>
    </row>
    <row r="1405" spans="1:8" ht="21.75" customHeight="1" x14ac:dyDescent="0.15">
      <c r="A1405" s="250"/>
      <c r="B1405" s="23" t="s">
        <v>14</v>
      </c>
      <c r="C1405" s="22">
        <v>39</v>
      </c>
      <c r="D1405" s="86">
        <f>QUOTIENT(212700000000,1000000)</f>
        <v>212700</v>
      </c>
      <c r="E1405" s="86">
        <f>QUOTIENT(100596000000,1000000)</f>
        <v>100596</v>
      </c>
      <c r="F1405" s="87">
        <f>QUOTIENT(60100000000,1000000)</f>
        <v>60100</v>
      </c>
      <c r="G1405" s="87">
        <f>QUOTIENT(52002000000,1000000)</f>
        <v>52002</v>
      </c>
      <c r="H1405" s="88">
        <f>QUOTIENT(2000000,1000000)</f>
        <v>2</v>
      </c>
    </row>
    <row r="1406" spans="1:8" ht="21.75" customHeight="1" x14ac:dyDescent="0.15">
      <c r="A1406" s="250"/>
      <c r="B1406" s="23" t="s">
        <v>13</v>
      </c>
      <c r="C1406" s="22">
        <v>652</v>
      </c>
      <c r="D1406" s="86">
        <f>QUOTIENT(2953556497000,1000000)</f>
        <v>2953556</v>
      </c>
      <c r="E1406" s="86">
        <f>QUOTIENT(217691427000,1000000)</f>
        <v>217691</v>
      </c>
      <c r="F1406" s="87">
        <f>QUOTIENT(1569602460000,1000000)</f>
        <v>1569602</v>
      </c>
      <c r="G1406" s="87">
        <f>QUOTIENT(1166262610000,1000000)</f>
        <v>1166262</v>
      </c>
      <c r="H1406" s="88">
        <f>QUOTIENT(0,1000000)</f>
        <v>0</v>
      </c>
    </row>
    <row r="1407" spans="1:8" ht="21.75" customHeight="1" x14ac:dyDescent="0.15">
      <c r="A1407" s="250"/>
      <c r="B1407" s="23" t="s">
        <v>12</v>
      </c>
      <c r="C1407" s="22">
        <v>260</v>
      </c>
      <c r="D1407" s="86">
        <f>QUOTIENT(7170300000000,1000000)</f>
        <v>7170300</v>
      </c>
      <c r="E1407" s="86">
        <f>QUOTIENT(925978000000,1000000)</f>
        <v>925978</v>
      </c>
      <c r="F1407" s="87">
        <f>QUOTIENT(2326150000000,1000000)</f>
        <v>2326150</v>
      </c>
      <c r="G1407" s="87">
        <f>QUOTIENT(3879872000000,1000000)</f>
        <v>3879872</v>
      </c>
      <c r="H1407" s="88">
        <f>QUOTIENT(38300000000,1000000)</f>
        <v>38300</v>
      </c>
    </row>
    <row r="1408" spans="1:8" ht="21.75" customHeight="1" x14ac:dyDescent="0.15">
      <c r="A1408" s="250"/>
      <c r="B1408" s="23" t="s">
        <v>11</v>
      </c>
      <c r="C1408" s="22">
        <v>60</v>
      </c>
      <c r="D1408" s="86">
        <f>QUOTIENT(1345850000000,1000000)</f>
        <v>1345850</v>
      </c>
      <c r="E1408" s="86">
        <f>QUOTIENT(128600000000,1000000)</f>
        <v>128600</v>
      </c>
      <c r="F1408" s="87">
        <f>QUOTIENT(579550000000,1000000)</f>
        <v>579550</v>
      </c>
      <c r="G1408" s="87">
        <f>QUOTIENT(637700000000,1000000)</f>
        <v>637700</v>
      </c>
      <c r="H1408" s="88">
        <f>QUOTIENT(0,1000000)</f>
        <v>0</v>
      </c>
    </row>
    <row r="1409" spans="1:8" ht="21.75" customHeight="1" x14ac:dyDescent="0.15">
      <c r="A1409" s="250"/>
      <c r="B1409" s="23" t="s">
        <v>10</v>
      </c>
      <c r="C1409" s="22">
        <v>0</v>
      </c>
      <c r="D1409" s="86">
        <f t="shared" ref="D1409:G1411" si="36">QUOTIENT(0,1000000)</f>
        <v>0</v>
      </c>
      <c r="E1409" s="86">
        <f t="shared" si="36"/>
        <v>0</v>
      </c>
      <c r="F1409" s="87">
        <f t="shared" si="36"/>
        <v>0</v>
      </c>
      <c r="G1409" s="87">
        <f t="shared" si="36"/>
        <v>0</v>
      </c>
      <c r="H1409" s="88">
        <f>QUOTIENT(0,1000000)</f>
        <v>0</v>
      </c>
    </row>
    <row r="1410" spans="1:8" ht="21.75" customHeight="1" x14ac:dyDescent="0.15">
      <c r="A1410" s="250"/>
      <c r="B1410" s="23" t="s">
        <v>9</v>
      </c>
      <c r="C1410" s="22">
        <v>0</v>
      </c>
      <c r="D1410" s="86">
        <f t="shared" si="36"/>
        <v>0</v>
      </c>
      <c r="E1410" s="86">
        <f t="shared" si="36"/>
        <v>0</v>
      </c>
      <c r="F1410" s="87">
        <f t="shared" si="36"/>
        <v>0</v>
      </c>
      <c r="G1410" s="87">
        <f t="shared" si="36"/>
        <v>0</v>
      </c>
      <c r="H1410" s="88">
        <f>QUOTIENT(0,1000000)</f>
        <v>0</v>
      </c>
    </row>
    <row r="1411" spans="1:8" ht="21.75" customHeight="1" x14ac:dyDescent="0.15">
      <c r="A1411" s="250"/>
      <c r="B1411" s="23" t="s">
        <v>8</v>
      </c>
      <c r="C1411" s="22">
        <v>0</v>
      </c>
      <c r="D1411" s="86">
        <f t="shared" si="36"/>
        <v>0</v>
      </c>
      <c r="E1411" s="86">
        <f t="shared" si="36"/>
        <v>0</v>
      </c>
      <c r="F1411" s="87">
        <f t="shared" si="36"/>
        <v>0</v>
      </c>
      <c r="G1411" s="87">
        <f t="shared" si="36"/>
        <v>0</v>
      </c>
      <c r="H1411" s="88">
        <f>QUOTIENT(0,1000000)</f>
        <v>0</v>
      </c>
    </row>
    <row r="1412" spans="1:8" ht="21.75" customHeight="1" x14ac:dyDescent="0.15">
      <c r="A1412" s="251"/>
      <c r="B1412" s="23" t="s">
        <v>7</v>
      </c>
      <c r="C1412" s="22">
        <v>31</v>
      </c>
      <c r="D1412" s="86">
        <f>QUOTIENT(17369000000,1000000)</f>
        <v>17369</v>
      </c>
      <c r="E1412" s="86">
        <f>QUOTIENT(584000000,1000000)</f>
        <v>584</v>
      </c>
      <c r="F1412" s="87">
        <f>QUOTIENT(14000000000,1000000)</f>
        <v>14000</v>
      </c>
      <c r="G1412" s="87">
        <f>QUOTIENT(2785000000,1000000)</f>
        <v>2785</v>
      </c>
      <c r="H1412" s="88">
        <f>QUOTIENT(0,1000000)</f>
        <v>0</v>
      </c>
    </row>
    <row r="1413" spans="1:8" ht="21.75" customHeight="1" x14ac:dyDescent="0.15">
      <c r="A1413" s="18" t="s">
        <v>6</v>
      </c>
      <c r="B1413" s="17" t="s">
        <v>5</v>
      </c>
      <c r="C1413" s="16">
        <v>3385</v>
      </c>
      <c r="D1413" s="80">
        <v>25092641</v>
      </c>
      <c r="E1413" s="80">
        <v>1054600</v>
      </c>
      <c r="F1413" s="81">
        <v>14585360</v>
      </c>
      <c r="G1413" s="81">
        <v>7702399</v>
      </c>
      <c r="H1413" s="82">
        <v>1750282</v>
      </c>
    </row>
    <row r="1414" spans="1:8" ht="21.75" customHeight="1" x14ac:dyDescent="0.15">
      <c r="A1414" s="252" t="s">
        <v>4</v>
      </c>
      <c r="B1414" s="12" t="s">
        <v>3</v>
      </c>
      <c r="C1414" s="11">
        <v>5679</v>
      </c>
      <c r="D1414" s="89">
        <v>95776728</v>
      </c>
      <c r="E1414" s="89">
        <v>60087209</v>
      </c>
      <c r="F1414" s="90">
        <v>16444482</v>
      </c>
      <c r="G1414" s="90">
        <v>12126445</v>
      </c>
      <c r="H1414" s="91">
        <v>7118591</v>
      </c>
    </row>
    <row r="1415" spans="1:8" ht="21.75" customHeight="1" thickBot="1" x14ac:dyDescent="0.2">
      <c r="A1415" s="253"/>
      <c r="B1415" s="7" t="s">
        <v>1153</v>
      </c>
      <c r="C1415" s="6">
        <v>7952</v>
      </c>
      <c r="D1415" s="92" t="s">
        <v>2178</v>
      </c>
      <c r="E1415" s="92" t="s">
        <v>2178</v>
      </c>
      <c r="F1415" s="92" t="s">
        <v>2178</v>
      </c>
      <c r="G1415" s="92" t="s">
        <v>2178</v>
      </c>
      <c r="H1415" s="93" t="s">
        <v>2178</v>
      </c>
    </row>
    <row r="1416" spans="1:8" ht="18" customHeight="1" x14ac:dyDescent="0.15">
      <c r="A1416" s="3" t="s">
        <v>1155</v>
      </c>
      <c r="B1416" s="2"/>
      <c r="C1416" s="2"/>
      <c r="D1416" s="2"/>
      <c r="E1416" s="2"/>
      <c r="F1416" s="2"/>
      <c r="G1416" s="2"/>
      <c r="H1416" s="2"/>
    </row>
    <row r="1417" spans="1:8" ht="18" customHeight="1" x14ac:dyDescent="0.15">
      <c r="A1417" s="3" t="s">
        <v>2587</v>
      </c>
      <c r="B1417" s="2"/>
      <c r="C1417" s="2"/>
      <c r="D1417" s="2"/>
      <c r="E1417" s="2"/>
      <c r="F1417" s="2"/>
      <c r="G1417" s="2"/>
      <c r="H1417" s="2"/>
    </row>
    <row r="1418" spans="1:8" ht="18" customHeight="1" x14ac:dyDescent="0.15">
      <c r="A1418" s="3" t="s">
        <v>1156</v>
      </c>
      <c r="B1418" s="2"/>
      <c r="C1418" s="2"/>
      <c r="D1418" s="2"/>
      <c r="E1418" s="2"/>
      <c r="F1418" s="2"/>
      <c r="G1418" s="2"/>
      <c r="H1418" s="2"/>
    </row>
    <row r="1419" spans="1:8" ht="18" customHeight="1" x14ac:dyDescent="0.15">
      <c r="A1419" s="3" t="s">
        <v>2487</v>
      </c>
      <c r="B1419" s="2"/>
      <c r="C1419" s="2"/>
      <c r="D1419" s="2"/>
      <c r="E1419" s="2"/>
      <c r="F1419" s="2"/>
      <c r="G1419" s="2"/>
      <c r="H1419" s="2"/>
    </row>
    <row r="1420" spans="1:8" ht="24" x14ac:dyDescent="0.15">
      <c r="A1420" s="230" t="s">
        <v>2484</v>
      </c>
      <c r="B1420" s="230"/>
      <c r="C1420" s="230"/>
      <c r="D1420" s="230"/>
      <c r="E1420" s="230"/>
      <c r="F1420" s="230"/>
      <c r="G1420" s="230"/>
      <c r="H1420" s="230"/>
    </row>
    <row r="1421" spans="1:8" ht="18" customHeight="1" x14ac:dyDescent="0.15">
      <c r="A1421" s="231"/>
      <c r="B1421" s="231"/>
      <c r="C1421" s="231"/>
      <c r="D1421" s="231"/>
      <c r="E1421" s="231"/>
      <c r="F1421" s="231"/>
      <c r="G1421" s="231"/>
      <c r="H1421" s="231"/>
    </row>
    <row r="1422" spans="1:8" thickBot="1" x14ac:dyDescent="0.2">
      <c r="A1422" s="58" t="s">
        <v>48</v>
      </c>
    </row>
    <row r="1423" spans="1:8" ht="18" customHeight="1" x14ac:dyDescent="0.15">
      <c r="A1423" s="232" t="s">
        <v>47</v>
      </c>
      <c r="B1423" s="235" t="s">
        <v>46</v>
      </c>
      <c r="C1423" s="238" t="s">
        <v>45</v>
      </c>
      <c r="D1423" s="241" t="s">
        <v>44</v>
      </c>
      <c r="E1423" s="112"/>
      <c r="F1423" s="56"/>
      <c r="G1423" s="56"/>
      <c r="H1423" s="55"/>
    </row>
    <row r="1424" spans="1:8" ht="18" customHeight="1" x14ac:dyDescent="0.15">
      <c r="A1424" s="233"/>
      <c r="B1424" s="236"/>
      <c r="C1424" s="239"/>
      <c r="D1424" s="242"/>
      <c r="E1424" s="244" t="s">
        <v>43</v>
      </c>
      <c r="F1424" s="246" t="s">
        <v>42</v>
      </c>
      <c r="G1424" s="246" t="s">
        <v>41</v>
      </c>
      <c r="H1424" s="248" t="s">
        <v>40</v>
      </c>
    </row>
    <row r="1425" spans="1:8" ht="18" customHeight="1" thickBot="1" x14ac:dyDescent="0.2">
      <c r="A1425" s="234"/>
      <c r="B1425" s="237"/>
      <c r="C1425" s="240"/>
      <c r="D1425" s="243"/>
      <c r="E1425" s="245"/>
      <c r="F1425" s="247"/>
      <c r="G1425" s="247"/>
      <c r="H1425" s="249"/>
    </row>
    <row r="1426" spans="1:8" s="60" customFormat="1" ht="18" customHeight="1" thickTop="1" x14ac:dyDescent="0.15">
      <c r="A1426" s="113"/>
      <c r="B1426" s="114"/>
      <c r="C1426" s="52"/>
      <c r="D1426" s="51" t="s">
        <v>39</v>
      </c>
      <c r="E1426" s="50" t="s">
        <v>39</v>
      </c>
      <c r="F1426" s="49" t="s">
        <v>39</v>
      </c>
      <c r="G1426" s="49" t="s">
        <v>39</v>
      </c>
      <c r="H1426" s="48" t="s">
        <v>39</v>
      </c>
    </row>
    <row r="1427" spans="1:8" ht="21.75" customHeight="1" x14ac:dyDescent="0.15">
      <c r="A1427" s="250" t="s">
        <v>38</v>
      </c>
      <c r="B1427" s="61" t="s">
        <v>37</v>
      </c>
      <c r="C1427" s="62">
        <v>3887</v>
      </c>
      <c r="D1427" s="63">
        <f>QUOTIENT(749893998744436,1000000)</f>
        <v>749893998</v>
      </c>
      <c r="E1427" s="63">
        <f>QUOTIENT(274696306305916,1000000)</f>
        <v>274696306</v>
      </c>
      <c r="F1427" s="64">
        <f>QUOTIENT(234166012562906,1000000)</f>
        <v>234166012</v>
      </c>
      <c r="G1427" s="64">
        <f>QUOTIENT(231213788630430,1000000)</f>
        <v>231213788</v>
      </c>
      <c r="H1427" s="65">
        <f>QUOTIENT(9817891245183,1000000)</f>
        <v>9817891</v>
      </c>
    </row>
    <row r="1428" spans="1:8" ht="21.75" customHeight="1" x14ac:dyDescent="0.15">
      <c r="A1428" s="250"/>
      <c r="B1428" s="66" t="s">
        <v>36</v>
      </c>
      <c r="C1428" s="67">
        <v>18</v>
      </c>
      <c r="D1428" s="68">
        <f>QUOTIENT(117590202000,1000000)</f>
        <v>117590</v>
      </c>
      <c r="E1428" s="68">
        <f>QUOTIENT(29485374500,1000000)</f>
        <v>29485</v>
      </c>
      <c r="F1428" s="69">
        <f>QUOTIENT(85419310000,1000000)</f>
        <v>85419</v>
      </c>
      <c r="G1428" s="69">
        <f>QUOTIENT(2680475000,1000000)</f>
        <v>2680</v>
      </c>
      <c r="H1428" s="70">
        <f>QUOTIENT(5042500,1000000)</f>
        <v>5</v>
      </c>
    </row>
    <row r="1429" spans="1:8" ht="21.75" customHeight="1" x14ac:dyDescent="0.15">
      <c r="A1429" s="250"/>
      <c r="B1429" s="66" t="s">
        <v>35</v>
      </c>
      <c r="C1429" s="67">
        <v>111</v>
      </c>
      <c r="D1429" s="68">
        <f>QUOTIENT(0,1000000)</f>
        <v>0</v>
      </c>
      <c r="E1429" s="68">
        <f>QUOTIENT(0,1000000)</f>
        <v>0</v>
      </c>
      <c r="F1429" s="69">
        <f>QUOTIENT(0,1000000)</f>
        <v>0</v>
      </c>
      <c r="G1429" s="69">
        <f>QUOTIENT(0,1000000)</f>
        <v>0</v>
      </c>
      <c r="H1429" s="70">
        <f>QUOTIENT(0,1000000)</f>
        <v>0</v>
      </c>
    </row>
    <row r="1430" spans="1:8" ht="21.75" customHeight="1" x14ac:dyDescent="0.15">
      <c r="A1430" s="250"/>
      <c r="B1430" s="71" t="s">
        <v>34</v>
      </c>
      <c r="C1430" s="72">
        <v>1</v>
      </c>
      <c r="D1430" s="73">
        <f>QUOTIENT(169831635600,1000000)</f>
        <v>169831</v>
      </c>
      <c r="E1430" s="73">
        <f>QUOTIENT(126219209600,1000000)</f>
        <v>126219</v>
      </c>
      <c r="F1430" s="74">
        <f>QUOTIENT(8329213200,1000000)</f>
        <v>8329</v>
      </c>
      <c r="G1430" s="74">
        <f>QUOTIENT(31018609600,1000000)</f>
        <v>31018</v>
      </c>
      <c r="H1430" s="75">
        <f>QUOTIENT(4264603200,1000000)</f>
        <v>4264</v>
      </c>
    </row>
    <row r="1431" spans="1:8" ht="21.75" customHeight="1" x14ac:dyDescent="0.15">
      <c r="A1431" s="250"/>
      <c r="B1431" s="66" t="s">
        <v>33</v>
      </c>
      <c r="C1431" s="67">
        <v>69</v>
      </c>
      <c r="D1431" s="68">
        <f>QUOTIENT(17691651800700,1000000)</f>
        <v>17691651</v>
      </c>
      <c r="E1431" s="68">
        <f>QUOTIENT(4435834197980,1000000)</f>
        <v>4435834</v>
      </c>
      <c r="F1431" s="69">
        <f>QUOTIENT(5051728300530,1000000)</f>
        <v>5051728</v>
      </c>
      <c r="G1431" s="69">
        <f>QUOTIENT(8033008371070,1000000)</f>
        <v>8033008</v>
      </c>
      <c r="H1431" s="70">
        <f>QUOTIENT(171080931120,1000000)</f>
        <v>171080</v>
      </c>
    </row>
    <row r="1432" spans="1:8" ht="21.75" customHeight="1" x14ac:dyDescent="0.15">
      <c r="A1432" s="250"/>
      <c r="B1432" s="76" t="s">
        <v>32</v>
      </c>
      <c r="C1432" s="67">
        <v>208</v>
      </c>
      <c r="D1432" s="68">
        <f>QUOTIENT(61197389100597,1000000)</f>
        <v>61197389</v>
      </c>
      <c r="E1432" s="68">
        <f>QUOTIENT(4690429893623,1000000)</f>
        <v>4690429</v>
      </c>
      <c r="F1432" s="69">
        <f>QUOTIENT(1569128416554,1000000)</f>
        <v>1569128</v>
      </c>
      <c r="G1432" s="69">
        <f>QUOTIENT(54747004540123,1000000)</f>
        <v>54747004</v>
      </c>
      <c r="H1432" s="70">
        <f>QUOTIENT(190826250297,1000000)</f>
        <v>190826</v>
      </c>
    </row>
    <row r="1433" spans="1:8" ht="21.75" customHeight="1" x14ac:dyDescent="0.15">
      <c r="A1433" s="251"/>
      <c r="B1433" s="77" t="s">
        <v>31</v>
      </c>
      <c r="C1433" s="72">
        <v>45</v>
      </c>
      <c r="D1433" s="73">
        <f>QUOTIENT(464006915640,1000000)</f>
        <v>464006</v>
      </c>
      <c r="E1433" s="73">
        <f>QUOTIENT(371166720412,1000000)</f>
        <v>371166</v>
      </c>
      <c r="F1433" s="74">
        <f>QUOTIENT(8219055327,1000000)</f>
        <v>8219</v>
      </c>
      <c r="G1433" s="74">
        <f>QUOTIENT(67758768000,1000000)</f>
        <v>67758</v>
      </c>
      <c r="H1433" s="75">
        <f>QUOTIENT(16862371901,1000000)</f>
        <v>16862</v>
      </c>
    </row>
    <row r="1434" spans="1:8" ht="21.75" customHeight="1" x14ac:dyDescent="0.15">
      <c r="A1434" s="30" t="s">
        <v>30</v>
      </c>
      <c r="B1434" s="78" t="s">
        <v>29</v>
      </c>
      <c r="C1434" s="79">
        <v>28</v>
      </c>
      <c r="D1434" s="80">
        <f>QUOTIENT(107693354408,1000000)</f>
        <v>107693</v>
      </c>
      <c r="E1434" s="80">
        <f>QUOTIENT(94129711248,1000000)</f>
        <v>94129</v>
      </c>
      <c r="F1434" s="81">
        <f>QUOTIENT(594828475,1000000)</f>
        <v>594</v>
      </c>
      <c r="G1434" s="81">
        <f>QUOTIENT(303206040,1000000)</f>
        <v>303</v>
      </c>
      <c r="H1434" s="82">
        <f>QUOTIENT(12665608645,1000000)</f>
        <v>12665</v>
      </c>
    </row>
    <row r="1435" spans="1:8" ht="21.75" customHeight="1" x14ac:dyDescent="0.15">
      <c r="A1435" s="252" t="s">
        <v>28</v>
      </c>
      <c r="B1435" s="17" t="s">
        <v>27</v>
      </c>
      <c r="C1435" s="16">
        <v>3303</v>
      </c>
      <c r="D1435" s="83">
        <f>QUOTIENT(63465651570000,1000000)</f>
        <v>63465651</v>
      </c>
      <c r="E1435" s="83">
        <f>QUOTIENT(9615537640000,1000000)</f>
        <v>9615537</v>
      </c>
      <c r="F1435" s="84">
        <f>QUOTIENT(28518556820000,1000000)</f>
        <v>28518556</v>
      </c>
      <c r="G1435" s="84">
        <f>QUOTIENT(25218693080000,1000000)</f>
        <v>25218693</v>
      </c>
      <c r="H1435" s="85">
        <f>QUOTIENT(112864030000,1000000)</f>
        <v>112864</v>
      </c>
    </row>
    <row r="1436" spans="1:8" ht="21.75" customHeight="1" x14ac:dyDescent="0.15">
      <c r="A1436" s="250"/>
      <c r="B1436" s="23" t="s">
        <v>26</v>
      </c>
      <c r="C1436" s="22">
        <v>3539</v>
      </c>
      <c r="D1436" s="86">
        <f>QUOTIENT(15279609759000,1000000)</f>
        <v>15279609</v>
      </c>
      <c r="E1436" s="86">
        <f>QUOTIENT(582741282000,1000000)</f>
        <v>582741</v>
      </c>
      <c r="F1436" s="87">
        <f>QUOTIENT(10039384002000,1000000)</f>
        <v>10039384</v>
      </c>
      <c r="G1436" s="87">
        <f>QUOTIENT(4646637475000,1000000)</f>
        <v>4646637</v>
      </c>
      <c r="H1436" s="88">
        <f>QUOTIENT(10847000000,1000000)</f>
        <v>10847</v>
      </c>
    </row>
    <row r="1437" spans="1:8" ht="21.75" customHeight="1" x14ac:dyDescent="0.15">
      <c r="A1437" s="250"/>
      <c r="B1437" s="24" t="s">
        <v>25</v>
      </c>
      <c r="C1437" s="22">
        <v>598</v>
      </c>
      <c r="D1437" s="86">
        <f>QUOTIENT(25154680000000,1000000)</f>
        <v>25154680</v>
      </c>
      <c r="E1437" s="86">
        <f>QUOTIENT(1863538300000,1000000)</f>
        <v>1863538</v>
      </c>
      <c r="F1437" s="87">
        <f>QUOTIENT(11796369200000,1000000)</f>
        <v>11796369</v>
      </c>
      <c r="G1437" s="87">
        <f>QUOTIENT(11412427500000,1000000)</f>
        <v>11412427</v>
      </c>
      <c r="H1437" s="88">
        <f>QUOTIENT(82345000000,1000000)</f>
        <v>82345</v>
      </c>
    </row>
    <row r="1438" spans="1:8" ht="21.75" customHeight="1" x14ac:dyDescent="0.15">
      <c r="A1438" s="250"/>
      <c r="B1438" s="23" t="s">
        <v>24</v>
      </c>
      <c r="C1438" s="22">
        <v>2048</v>
      </c>
      <c r="D1438" s="86">
        <f>QUOTIENT(58138000000000,1000000)</f>
        <v>58138000</v>
      </c>
      <c r="E1438" s="86">
        <f>QUOTIENT(6805611700000,1000000)</f>
        <v>6805611</v>
      </c>
      <c r="F1438" s="87">
        <f>QUOTIENT(19593173000000,1000000)</f>
        <v>19593173</v>
      </c>
      <c r="G1438" s="87">
        <f>QUOTIENT(31736165300000,1000000)</f>
        <v>31736165</v>
      </c>
      <c r="H1438" s="88">
        <f>QUOTIENT(3050000000,1000000)</f>
        <v>3050</v>
      </c>
    </row>
    <row r="1439" spans="1:8" ht="21.75" customHeight="1" x14ac:dyDescent="0.15">
      <c r="A1439" s="250"/>
      <c r="B1439" s="23" t="s">
        <v>23</v>
      </c>
      <c r="C1439" s="22">
        <v>457</v>
      </c>
      <c r="D1439" s="86">
        <f>QUOTIENT(4828672000000,1000000)</f>
        <v>4828672</v>
      </c>
      <c r="E1439" s="86">
        <f>QUOTIENT(353487300000,1000000)</f>
        <v>353487</v>
      </c>
      <c r="F1439" s="87">
        <f>QUOTIENT(97668900000,1000000)</f>
        <v>97668</v>
      </c>
      <c r="G1439" s="87">
        <f>QUOTIENT(4377515800000,1000000)</f>
        <v>4377515</v>
      </c>
      <c r="H1439" s="88">
        <f>QUOTIENT(0,1000000)</f>
        <v>0</v>
      </c>
    </row>
    <row r="1440" spans="1:8" ht="21.75" customHeight="1" x14ac:dyDescent="0.15">
      <c r="A1440" s="250"/>
      <c r="B1440" s="23" t="s">
        <v>22</v>
      </c>
      <c r="C1440" s="22">
        <v>157</v>
      </c>
      <c r="D1440" s="86">
        <f>QUOTIENT(1293300000000,1000000)</f>
        <v>1293300</v>
      </c>
      <c r="E1440" s="86">
        <f>QUOTIENT(310570000000,1000000)</f>
        <v>310570</v>
      </c>
      <c r="F1440" s="87">
        <f>QUOTIENT(454100000000,1000000)</f>
        <v>454100</v>
      </c>
      <c r="G1440" s="87">
        <f>QUOTIENT(528630000000,1000000)</f>
        <v>528630</v>
      </c>
      <c r="H1440" s="88">
        <f>QUOTIENT(0,1000000)</f>
        <v>0</v>
      </c>
    </row>
    <row r="1441" spans="1:8" ht="21.75" customHeight="1" x14ac:dyDescent="0.15">
      <c r="A1441" s="250"/>
      <c r="B1441" s="23" t="s">
        <v>21</v>
      </c>
      <c r="C1441" s="22">
        <v>23</v>
      </c>
      <c r="D1441" s="86">
        <f>QUOTIENT(151996000000,1000000)</f>
        <v>151996</v>
      </c>
      <c r="E1441" s="86">
        <f>QUOTIENT(115197000000,1000000)</f>
        <v>115197</v>
      </c>
      <c r="F1441" s="87">
        <f>QUOTIENT(21793000000,1000000)</f>
        <v>21793</v>
      </c>
      <c r="G1441" s="87">
        <f>QUOTIENT(15006000000,1000000)</f>
        <v>15006</v>
      </c>
      <c r="H1441" s="88">
        <f>QUOTIENT(0,1000000)</f>
        <v>0</v>
      </c>
    </row>
    <row r="1442" spans="1:8" ht="21.75" customHeight="1" x14ac:dyDescent="0.15">
      <c r="A1442" s="250"/>
      <c r="B1442" s="23" t="s">
        <v>20</v>
      </c>
      <c r="C1442" s="22">
        <v>0</v>
      </c>
      <c r="D1442" s="86">
        <f>QUOTIENT(0,1000000)</f>
        <v>0</v>
      </c>
      <c r="E1442" s="86">
        <f>QUOTIENT(0,1000000)</f>
        <v>0</v>
      </c>
      <c r="F1442" s="87">
        <f>QUOTIENT(0,1000000)</f>
        <v>0</v>
      </c>
      <c r="G1442" s="87">
        <f>QUOTIENT(0,1000000)</f>
        <v>0</v>
      </c>
      <c r="H1442" s="88">
        <f>QUOTIENT(0,1000000)</f>
        <v>0</v>
      </c>
    </row>
    <row r="1443" spans="1:8" ht="21.75" customHeight="1" x14ac:dyDescent="0.15">
      <c r="A1443" s="250"/>
      <c r="B1443" s="23" t="s">
        <v>19</v>
      </c>
      <c r="C1443" s="22">
        <v>221</v>
      </c>
      <c r="D1443" s="86">
        <f>QUOTIENT(5816310000000,1000000)</f>
        <v>5816310</v>
      </c>
      <c r="E1443" s="86">
        <f>QUOTIENT(609460000000,1000000)</f>
        <v>609460</v>
      </c>
      <c r="F1443" s="87">
        <f>QUOTIENT(2798610000000,1000000)</f>
        <v>2798610</v>
      </c>
      <c r="G1443" s="87">
        <f>QUOTIENT(2263040000000,1000000)</f>
        <v>2263040</v>
      </c>
      <c r="H1443" s="88">
        <f>QUOTIENT(145200000000,1000000)</f>
        <v>145200</v>
      </c>
    </row>
    <row r="1444" spans="1:8" ht="21.75" customHeight="1" x14ac:dyDescent="0.15">
      <c r="A1444" s="250"/>
      <c r="B1444" s="23" t="s">
        <v>18</v>
      </c>
      <c r="C1444" s="22">
        <v>3835</v>
      </c>
      <c r="D1444" s="86">
        <f>QUOTIENT(78820445500000,1000000)</f>
        <v>78820445</v>
      </c>
      <c r="E1444" s="86">
        <f>QUOTIENT(18785134700000,1000000)</f>
        <v>18785134</v>
      </c>
      <c r="F1444" s="87">
        <f>QUOTIENT(30076156300000,1000000)</f>
        <v>30076156</v>
      </c>
      <c r="G1444" s="87">
        <f>QUOTIENT(29399749400000,1000000)</f>
        <v>29399749</v>
      </c>
      <c r="H1444" s="88">
        <f>QUOTIENT(559405100000,1000000)</f>
        <v>559405</v>
      </c>
    </row>
    <row r="1445" spans="1:8" ht="21.75" customHeight="1" x14ac:dyDescent="0.15">
      <c r="A1445" s="250"/>
      <c r="B1445" s="23" t="s">
        <v>17</v>
      </c>
      <c r="C1445" s="22">
        <v>658</v>
      </c>
      <c r="D1445" s="86">
        <f>QUOTIENT(15179260000000,1000000)</f>
        <v>15179260</v>
      </c>
      <c r="E1445" s="86">
        <f>QUOTIENT(3487967700000,1000000)</f>
        <v>3487967</v>
      </c>
      <c r="F1445" s="87">
        <f>QUOTIENT(6119335900000,1000000)</f>
        <v>6119335</v>
      </c>
      <c r="G1445" s="87">
        <f>QUOTIENT(5524960300000,1000000)</f>
        <v>5524960</v>
      </c>
      <c r="H1445" s="88">
        <f>QUOTIENT(46996100000,1000000)</f>
        <v>46996</v>
      </c>
    </row>
    <row r="1446" spans="1:8" ht="21.75" customHeight="1" x14ac:dyDescent="0.15">
      <c r="A1446" s="250"/>
      <c r="B1446" s="23" t="s">
        <v>16</v>
      </c>
      <c r="C1446" s="22">
        <v>62891</v>
      </c>
      <c r="D1446" s="86">
        <f>QUOTIENT(16144463150000,1000000)</f>
        <v>16144463</v>
      </c>
      <c r="E1446" s="86">
        <f>QUOTIENT(4567762119000,1000000)</f>
        <v>4567762</v>
      </c>
      <c r="F1446" s="87">
        <f>QUOTIENT(5149127134000,1000000)</f>
        <v>5149127</v>
      </c>
      <c r="G1446" s="87">
        <f>QUOTIENT(6422928897000,1000000)</f>
        <v>6422928</v>
      </c>
      <c r="H1446" s="88">
        <f>QUOTIENT(4645000000,1000000)</f>
        <v>4645</v>
      </c>
    </row>
    <row r="1447" spans="1:8" ht="21.75" customHeight="1" x14ac:dyDescent="0.15">
      <c r="A1447" s="250"/>
      <c r="B1447" s="23" t="s">
        <v>15</v>
      </c>
      <c r="C1447" s="22">
        <v>549</v>
      </c>
      <c r="D1447" s="86">
        <f>QUOTIENT(4166721817000,1000000)</f>
        <v>4166721</v>
      </c>
      <c r="E1447" s="86">
        <f>QUOTIENT(3582874519000,1000000)</f>
        <v>3582874</v>
      </c>
      <c r="F1447" s="87">
        <f>QUOTIENT(463389421000,1000000)</f>
        <v>463389</v>
      </c>
      <c r="G1447" s="87">
        <f>QUOTIENT(120212877000,1000000)</f>
        <v>120212</v>
      </c>
      <c r="H1447" s="88">
        <f>QUOTIENT(245000000,1000000)</f>
        <v>245</v>
      </c>
    </row>
    <row r="1448" spans="1:8" ht="21.75" customHeight="1" x14ac:dyDescent="0.15">
      <c r="A1448" s="250"/>
      <c r="B1448" s="23" t="s">
        <v>14</v>
      </c>
      <c r="C1448" s="22">
        <v>39</v>
      </c>
      <c r="D1448" s="86">
        <f>QUOTIENT(212700000000,1000000)</f>
        <v>212700</v>
      </c>
      <c r="E1448" s="86">
        <f>QUOTIENT(101601000000,1000000)</f>
        <v>101601</v>
      </c>
      <c r="F1448" s="87">
        <f>QUOTIENT(56800000000,1000000)</f>
        <v>56800</v>
      </c>
      <c r="G1448" s="87">
        <f>QUOTIENT(54297000000,1000000)</f>
        <v>54297</v>
      </c>
      <c r="H1448" s="88">
        <f>QUOTIENT(2000000,1000000)</f>
        <v>2</v>
      </c>
    </row>
    <row r="1449" spans="1:8" ht="21.75" customHeight="1" x14ac:dyDescent="0.15">
      <c r="A1449" s="250"/>
      <c r="B1449" s="23" t="s">
        <v>13</v>
      </c>
      <c r="C1449" s="22">
        <v>638</v>
      </c>
      <c r="D1449" s="86">
        <f>QUOTIENT(2950699243000,1000000)</f>
        <v>2950699</v>
      </c>
      <c r="E1449" s="86">
        <f>QUOTIENT(215630193000,1000000)</f>
        <v>215630</v>
      </c>
      <c r="F1449" s="87">
        <f>QUOTIENT(1561455460000,1000000)</f>
        <v>1561455</v>
      </c>
      <c r="G1449" s="87">
        <f>QUOTIENT(1173613590000,1000000)</f>
        <v>1173613</v>
      </c>
      <c r="H1449" s="88">
        <f>QUOTIENT(0,1000000)</f>
        <v>0</v>
      </c>
    </row>
    <row r="1450" spans="1:8" ht="21.75" customHeight="1" x14ac:dyDescent="0.15">
      <c r="A1450" s="250"/>
      <c r="B1450" s="23" t="s">
        <v>12</v>
      </c>
      <c r="C1450" s="22">
        <v>265</v>
      </c>
      <c r="D1450" s="86">
        <f>QUOTIENT(7176300000000,1000000)</f>
        <v>7176300</v>
      </c>
      <c r="E1450" s="86">
        <f>QUOTIENT(959778000000,1000000)</f>
        <v>959778</v>
      </c>
      <c r="F1450" s="87">
        <f>QUOTIENT(2344750000000,1000000)</f>
        <v>2344750</v>
      </c>
      <c r="G1450" s="87">
        <f>QUOTIENT(3833272000000,1000000)</f>
        <v>3833272</v>
      </c>
      <c r="H1450" s="88">
        <f>QUOTIENT(38500000000,1000000)</f>
        <v>38500</v>
      </c>
    </row>
    <row r="1451" spans="1:8" ht="21.75" customHeight="1" x14ac:dyDescent="0.15">
      <c r="A1451" s="250"/>
      <c r="B1451" s="23" t="s">
        <v>11</v>
      </c>
      <c r="C1451" s="22">
        <v>61</v>
      </c>
      <c r="D1451" s="86">
        <f>QUOTIENT(1349850000000,1000000)</f>
        <v>1349850</v>
      </c>
      <c r="E1451" s="86">
        <f>QUOTIENT(128500000000,1000000)</f>
        <v>128500</v>
      </c>
      <c r="F1451" s="87">
        <f>QUOTIENT(583550000000,1000000)</f>
        <v>583550</v>
      </c>
      <c r="G1451" s="87">
        <f>QUOTIENT(637800000000,1000000)</f>
        <v>637800</v>
      </c>
      <c r="H1451" s="88">
        <f>QUOTIENT(0,1000000)</f>
        <v>0</v>
      </c>
    </row>
    <row r="1452" spans="1:8" ht="21.75" customHeight="1" x14ac:dyDescent="0.15">
      <c r="A1452" s="250"/>
      <c r="B1452" s="23" t="s">
        <v>10</v>
      </c>
      <c r="C1452" s="22">
        <v>0</v>
      </c>
      <c r="D1452" s="86">
        <f t="shared" ref="D1452:G1454" si="37">QUOTIENT(0,1000000)</f>
        <v>0</v>
      </c>
      <c r="E1452" s="86">
        <f t="shared" si="37"/>
        <v>0</v>
      </c>
      <c r="F1452" s="87">
        <f t="shared" si="37"/>
        <v>0</v>
      </c>
      <c r="G1452" s="87">
        <f t="shared" si="37"/>
        <v>0</v>
      </c>
      <c r="H1452" s="88">
        <f>QUOTIENT(0,1000000)</f>
        <v>0</v>
      </c>
    </row>
    <row r="1453" spans="1:8" ht="21.75" customHeight="1" x14ac:dyDescent="0.15">
      <c r="A1453" s="250"/>
      <c r="B1453" s="23" t="s">
        <v>9</v>
      </c>
      <c r="C1453" s="22">
        <v>0</v>
      </c>
      <c r="D1453" s="86">
        <f t="shared" si="37"/>
        <v>0</v>
      </c>
      <c r="E1453" s="86">
        <f t="shared" si="37"/>
        <v>0</v>
      </c>
      <c r="F1453" s="87">
        <f t="shared" si="37"/>
        <v>0</v>
      </c>
      <c r="G1453" s="87">
        <f t="shared" si="37"/>
        <v>0</v>
      </c>
      <c r="H1453" s="88">
        <f>QUOTIENT(0,1000000)</f>
        <v>0</v>
      </c>
    </row>
    <row r="1454" spans="1:8" ht="21.75" customHeight="1" x14ac:dyDescent="0.15">
      <c r="A1454" s="250"/>
      <c r="B1454" s="23" t="s">
        <v>8</v>
      </c>
      <c r="C1454" s="22">
        <v>0</v>
      </c>
      <c r="D1454" s="86">
        <f t="shared" si="37"/>
        <v>0</v>
      </c>
      <c r="E1454" s="86">
        <f t="shared" si="37"/>
        <v>0</v>
      </c>
      <c r="F1454" s="87">
        <f t="shared" si="37"/>
        <v>0</v>
      </c>
      <c r="G1454" s="87">
        <f t="shared" si="37"/>
        <v>0</v>
      </c>
      <c r="H1454" s="88">
        <f>QUOTIENT(0,1000000)</f>
        <v>0</v>
      </c>
    </row>
    <row r="1455" spans="1:8" ht="21.75" customHeight="1" x14ac:dyDescent="0.15">
      <c r="A1455" s="251"/>
      <c r="B1455" s="23" t="s">
        <v>7</v>
      </c>
      <c r="C1455" s="22">
        <v>30</v>
      </c>
      <c r="D1455" s="86">
        <f>QUOTIENT(16785000000,1000000)</f>
        <v>16785</v>
      </c>
      <c r="E1455" s="86">
        <f>QUOTIENT(0,1000000)</f>
        <v>0</v>
      </c>
      <c r="F1455" s="87">
        <f>QUOTIENT(14000000000,1000000)</f>
        <v>14000</v>
      </c>
      <c r="G1455" s="87">
        <f>QUOTIENT(2785000000,1000000)</f>
        <v>2785</v>
      </c>
      <c r="H1455" s="88">
        <f>QUOTIENT(0,1000000)</f>
        <v>0</v>
      </c>
    </row>
    <row r="1456" spans="1:8" ht="21.75" customHeight="1" x14ac:dyDescent="0.15">
      <c r="A1456" s="18" t="s">
        <v>6</v>
      </c>
      <c r="B1456" s="17" t="s">
        <v>5</v>
      </c>
      <c r="C1456" s="16">
        <v>3319</v>
      </c>
      <c r="D1456" s="80">
        <v>22426544</v>
      </c>
      <c r="E1456" s="80">
        <v>1085800</v>
      </c>
      <c r="F1456" s="81">
        <v>12366037</v>
      </c>
      <c r="G1456" s="81">
        <v>7358833</v>
      </c>
      <c r="H1456" s="82">
        <v>1615874</v>
      </c>
    </row>
    <row r="1457" spans="1:8" ht="21.75" customHeight="1" x14ac:dyDescent="0.15">
      <c r="A1457" s="252" t="s">
        <v>4</v>
      </c>
      <c r="B1457" s="12" t="s">
        <v>3</v>
      </c>
      <c r="C1457" s="11">
        <v>5686</v>
      </c>
      <c r="D1457" s="89">
        <v>95708803</v>
      </c>
      <c r="E1457" s="89">
        <v>60114156</v>
      </c>
      <c r="F1457" s="90">
        <v>16374543</v>
      </c>
      <c r="G1457" s="90">
        <v>12092643</v>
      </c>
      <c r="H1457" s="91">
        <v>7127460</v>
      </c>
    </row>
    <row r="1458" spans="1:8" ht="21.75" customHeight="1" thickBot="1" x14ac:dyDescent="0.2">
      <c r="A1458" s="253"/>
      <c r="B1458" s="7" t="s">
        <v>1153</v>
      </c>
      <c r="C1458" s="6">
        <v>7886</v>
      </c>
      <c r="D1458" s="92" t="s">
        <v>2178</v>
      </c>
      <c r="E1458" s="92" t="s">
        <v>2178</v>
      </c>
      <c r="F1458" s="92" t="s">
        <v>2178</v>
      </c>
      <c r="G1458" s="92" t="s">
        <v>2178</v>
      </c>
      <c r="H1458" s="93" t="s">
        <v>2178</v>
      </c>
    </row>
    <row r="1459" spans="1:8" ht="18" customHeight="1" x14ac:dyDescent="0.15">
      <c r="A1459" s="3" t="s">
        <v>1155</v>
      </c>
      <c r="B1459" s="2"/>
      <c r="C1459" s="2"/>
      <c r="D1459" s="2"/>
      <c r="E1459" s="2"/>
      <c r="F1459" s="2"/>
      <c r="G1459" s="2"/>
      <c r="H1459" s="2"/>
    </row>
    <row r="1460" spans="1:8" ht="18" customHeight="1" x14ac:dyDescent="0.15">
      <c r="A1460" s="3" t="s">
        <v>2587</v>
      </c>
      <c r="B1460" s="2"/>
      <c r="C1460" s="2"/>
      <c r="D1460" s="2"/>
      <c r="E1460" s="2"/>
      <c r="F1460" s="2"/>
      <c r="G1460" s="2"/>
      <c r="H1460" s="2"/>
    </row>
    <row r="1461" spans="1:8" ht="18" customHeight="1" x14ac:dyDescent="0.15">
      <c r="A1461" s="3" t="s">
        <v>1156</v>
      </c>
      <c r="B1461" s="2"/>
      <c r="C1461" s="2"/>
      <c r="D1461" s="2"/>
      <c r="E1461" s="2"/>
      <c r="F1461" s="2"/>
      <c r="G1461" s="2"/>
      <c r="H1461" s="2"/>
    </row>
    <row r="1462" spans="1:8" ht="18" customHeight="1" x14ac:dyDescent="0.15">
      <c r="A1462" s="3" t="s">
        <v>2485</v>
      </c>
      <c r="B1462" s="2"/>
      <c r="C1462" s="2"/>
      <c r="D1462" s="2"/>
      <c r="E1462" s="2"/>
      <c r="F1462" s="2"/>
      <c r="G1462" s="2"/>
      <c r="H1462" s="2"/>
    </row>
    <row r="1463" spans="1:8" ht="24" x14ac:dyDescent="0.15">
      <c r="A1463" s="230" t="s">
        <v>2482</v>
      </c>
      <c r="B1463" s="230"/>
      <c r="C1463" s="230"/>
      <c r="D1463" s="230"/>
      <c r="E1463" s="230"/>
      <c r="F1463" s="230"/>
      <c r="G1463" s="230"/>
      <c r="H1463" s="230"/>
    </row>
    <row r="1464" spans="1:8" ht="18" customHeight="1" x14ac:dyDescent="0.15">
      <c r="A1464" s="231"/>
      <c r="B1464" s="231"/>
      <c r="C1464" s="231"/>
      <c r="D1464" s="231"/>
      <c r="E1464" s="231"/>
      <c r="F1464" s="231"/>
      <c r="G1464" s="231"/>
      <c r="H1464" s="231"/>
    </row>
    <row r="1465" spans="1:8" thickBot="1" x14ac:dyDescent="0.2">
      <c r="A1465" s="58" t="s">
        <v>48</v>
      </c>
    </row>
    <row r="1466" spans="1:8" ht="18" customHeight="1" x14ac:dyDescent="0.15">
      <c r="A1466" s="232" t="s">
        <v>47</v>
      </c>
      <c r="B1466" s="235" t="s">
        <v>46</v>
      </c>
      <c r="C1466" s="238" t="s">
        <v>45</v>
      </c>
      <c r="D1466" s="241" t="s">
        <v>44</v>
      </c>
      <c r="E1466" s="109"/>
      <c r="F1466" s="56"/>
      <c r="G1466" s="56"/>
      <c r="H1466" s="55"/>
    </row>
    <row r="1467" spans="1:8" ht="18" customHeight="1" x14ac:dyDescent="0.15">
      <c r="A1467" s="233"/>
      <c r="B1467" s="236"/>
      <c r="C1467" s="239"/>
      <c r="D1467" s="242"/>
      <c r="E1467" s="244" t="s">
        <v>43</v>
      </c>
      <c r="F1467" s="246" t="s">
        <v>42</v>
      </c>
      <c r="G1467" s="246" t="s">
        <v>41</v>
      </c>
      <c r="H1467" s="248" t="s">
        <v>40</v>
      </c>
    </row>
    <row r="1468" spans="1:8" ht="18" customHeight="1" thickBot="1" x14ac:dyDescent="0.2">
      <c r="A1468" s="234"/>
      <c r="B1468" s="237"/>
      <c r="C1468" s="240"/>
      <c r="D1468" s="243"/>
      <c r="E1468" s="245"/>
      <c r="F1468" s="247"/>
      <c r="G1468" s="247"/>
      <c r="H1468" s="249"/>
    </row>
    <row r="1469" spans="1:8" s="60" customFormat="1" ht="18" customHeight="1" thickTop="1" x14ac:dyDescent="0.15">
      <c r="A1469" s="110"/>
      <c r="B1469" s="111"/>
      <c r="C1469" s="52"/>
      <c r="D1469" s="51" t="s">
        <v>39</v>
      </c>
      <c r="E1469" s="50" t="s">
        <v>39</v>
      </c>
      <c r="F1469" s="49" t="s">
        <v>39</v>
      </c>
      <c r="G1469" s="49" t="s">
        <v>39</v>
      </c>
      <c r="H1469" s="48" t="s">
        <v>39</v>
      </c>
    </row>
    <row r="1470" spans="1:8" ht="21.75" customHeight="1" x14ac:dyDescent="0.15">
      <c r="A1470" s="250" t="s">
        <v>38</v>
      </c>
      <c r="B1470" s="61" t="s">
        <v>37</v>
      </c>
      <c r="C1470" s="62">
        <v>3873</v>
      </c>
      <c r="D1470" s="63">
        <f>QUOTIENT(740506603672191,1000000)</f>
        <v>740506603</v>
      </c>
      <c r="E1470" s="63">
        <f>QUOTIENT(269317167015741,1000000)</f>
        <v>269317167</v>
      </c>
      <c r="F1470" s="64">
        <f>QUOTIENT(234548528988655,1000000)</f>
        <v>234548528</v>
      </c>
      <c r="G1470" s="64">
        <f>QUOTIENT(226900140892029,1000000)</f>
        <v>226900140</v>
      </c>
      <c r="H1470" s="65">
        <f>QUOTIENT(9740766775766,1000000)</f>
        <v>9740766</v>
      </c>
    </row>
    <row r="1471" spans="1:8" ht="21.75" customHeight="1" x14ac:dyDescent="0.15">
      <c r="A1471" s="250"/>
      <c r="B1471" s="66" t="s">
        <v>36</v>
      </c>
      <c r="C1471" s="67">
        <v>19</v>
      </c>
      <c r="D1471" s="68">
        <f>QUOTIENT(124240836000,1000000)</f>
        <v>124240</v>
      </c>
      <c r="E1471" s="68">
        <f>QUOTIENT(32462674500,1000000)</f>
        <v>32462</v>
      </c>
      <c r="F1471" s="69">
        <f>QUOTIENT(88107386500,1000000)</f>
        <v>88107</v>
      </c>
      <c r="G1471" s="69">
        <f>QUOTIENT(3669775500,1000000)</f>
        <v>3669</v>
      </c>
      <c r="H1471" s="115">
        <f>QUOTIENT(999500,1000000)</f>
        <v>0</v>
      </c>
    </row>
    <row r="1472" spans="1:8" ht="21.75" customHeight="1" x14ac:dyDescent="0.15">
      <c r="A1472" s="250"/>
      <c r="B1472" s="66" t="s">
        <v>35</v>
      </c>
      <c r="C1472" s="67">
        <v>107</v>
      </c>
      <c r="D1472" s="68">
        <f>QUOTIENT(0,1000000)</f>
        <v>0</v>
      </c>
      <c r="E1472" s="68">
        <f>QUOTIENT(0,1000000)</f>
        <v>0</v>
      </c>
      <c r="F1472" s="69">
        <f>QUOTIENT(0,1000000)</f>
        <v>0</v>
      </c>
      <c r="G1472" s="69">
        <f>QUOTIENT(0,1000000)</f>
        <v>0</v>
      </c>
      <c r="H1472" s="70">
        <f>QUOTIENT(0,1000000)</f>
        <v>0</v>
      </c>
    </row>
    <row r="1473" spans="1:8" ht="21.75" customHeight="1" x14ac:dyDescent="0.15">
      <c r="A1473" s="250"/>
      <c r="B1473" s="71" t="s">
        <v>34</v>
      </c>
      <c r="C1473" s="72">
        <v>1</v>
      </c>
      <c r="D1473" s="73">
        <f>QUOTIENT(168556836000,1000000)</f>
        <v>168556</v>
      </c>
      <c r="E1473" s="73">
        <f>QUOTIENT(124892166000,1000000)</f>
        <v>124892</v>
      </c>
      <c r="F1473" s="74">
        <f>QUOTIENT(8327620000,1000000)</f>
        <v>8327</v>
      </c>
      <c r="G1473" s="74">
        <f>QUOTIENT(31102316000,1000000)</f>
        <v>31102</v>
      </c>
      <c r="H1473" s="75">
        <f>QUOTIENT(4234734000,1000000)</f>
        <v>4234</v>
      </c>
    </row>
    <row r="1474" spans="1:8" ht="21.75" customHeight="1" x14ac:dyDescent="0.15">
      <c r="A1474" s="250"/>
      <c r="B1474" s="66" t="s">
        <v>33</v>
      </c>
      <c r="C1474" s="67">
        <v>68</v>
      </c>
      <c r="D1474" s="68">
        <f>QUOTIENT(17030567502700,1000000)</f>
        <v>17030567</v>
      </c>
      <c r="E1474" s="68">
        <f>QUOTIENT(4312690871340,1000000)</f>
        <v>4312690</v>
      </c>
      <c r="F1474" s="69">
        <f>QUOTIENT(4733841803810,1000000)</f>
        <v>4733841</v>
      </c>
      <c r="G1474" s="69">
        <f>QUOTIENT(7802793788030,1000000)</f>
        <v>7802793</v>
      </c>
      <c r="H1474" s="70">
        <f>QUOTIENT(181241039520,1000000)</f>
        <v>181241</v>
      </c>
    </row>
    <row r="1475" spans="1:8" ht="21.75" customHeight="1" x14ac:dyDescent="0.15">
      <c r="A1475" s="250"/>
      <c r="B1475" s="76" t="s">
        <v>32</v>
      </c>
      <c r="C1475" s="67">
        <v>203</v>
      </c>
      <c r="D1475" s="68">
        <f>QUOTIENT(60547732868633,1000000)</f>
        <v>60547732</v>
      </c>
      <c r="E1475" s="68">
        <f>QUOTIENT(4559852178402,1000000)</f>
        <v>4559852</v>
      </c>
      <c r="F1475" s="69">
        <f>QUOTIENT(1499793953524,1000000)</f>
        <v>1499793</v>
      </c>
      <c r="G1475" s="69">
        <f>QUOTIENT(54285152803445,1000000)</f>
        <v>54285152</v>
      </c>
      <c r="H1475" s="70">
        <f>QUOTIENT(202933933262,1000000)</f>
        <v>202933</v>
      </c>
    </row>
    <row r="1476" spans="1:8" ht="21.75" customHeight="1" x14ac:dyDescent="0.15">
      <c r="A1476" s="251"/>
      <c r="B1476" s="77" t="s">
        <v>31</v>
      </c>
      <c r="C1476" s="72">
        <v>44</v>
      </c>
      <c r="D1476" s="73">
        <f>QUOTIENT(457489350365,1000000)</f>
        <v>457489</v>
      </c>
      <c r="E1476" s="73">
        <f>QUOTIENT(357800393329,1000000)</f>
        <v>357800</v>
      </c>
      <c r="F1476" s="74">
        <f>QUOTIENT(9296065302,1000000)</f>
        <v>9296</v>
      </c>
      <c r="G1476" s="74">
        <f>QUOTIENT(73121404170,1000000)</f>
        <v>73121</v>
      </c>
      <c r="H1476" s="75">
        <f>QUOTIENT(17271487564,1000000)</f>
        <v>17271</v>
      </c>
    </row>
    <row r="1477" spans="1:8" ht="21.75" customHeight="1" x14ac:dyDescent="0.15">
      <c r="A1477" s="30" t="s">
        <v>30</v>
      </c>
      <c r="B1477" s="78" t="s">
        <v>29</v>
      </c>
      <c r="C1477" s="79">
        <v>28</v>
      </c>
      <c r="D1477" s="80">
        <f>QUOTIENT(109464992738,1000000)</f>
        <v>109464</v>
      </c>
      <c r="E1477" s="80">
        <f>QUOTIENT(95892293363,1000000)</f>
        <v>95892</v>
      </c>
      <c r="F1477" s="81">
        <f>QUOTIENT(585389947,1000000)</f>
        <v>585</v>
      </c>
      <c r="G1477" s="81">
        <f>QUOTIENT(377143200,1000000)</f>
        <v>377</v>
      </c>
      <c r="H1477" s="82">
        <f>QUOTIENT(12610166228,1000000)</f>
        <v>12610</v>
      </c>
    </row>
    <row r="1478" spans="1:8" ht="21.75" customHeight="1" x14ac:dyDescent="0.15">
      <c r="A1478" s="252" t="s">
        <v>28</v>
      </c>
      <c r="B1478" s="17" t="s">
        <v>27</v>
      </c>
      <c r="C1478" s="16">
        <v>3294</v>
      </c>
      <c r="D1478" s="83">
        <f>QUOTIENT(63364651570000,1000000)</f>
        <v>63364651</v>
      </c>
      <c r="E1478" s="83">
        <f>QUOTIENT(9609142750000,1000000)</f>
        <v>9609142</v>
      </c>
      <c r="F1478" s="84">
        <f>QUOTIENT(28235667780000,1000000)</f>
        <v>28235667</v>
      </c>
      <c r="G1478" s="84">
        <f>QUOTIENT(25381590810000,1000000)</f>
        <v>25381590</v>
      </c>
      <c r="H1478" s="85">
        <f>QUOTIENT(138250230000,1000000)</f>
        <v>138250</v>
      </c>
    </row>
    <row r="1479" spans="1:8" ht="21.75" customHeight="1" x14ac:dyDescent="0.15">
      <c r="A1479" s="250"/>
      <c r="B1479" s="23" t="s">
        <v>26</v>
      </c>
      <c r="C1479" s="22">
        <v>3536</v>
      </c>
      <c r="D1479" s="86">
        <f>QUOTIENT(15271298759000,1000000)</f>
        <v>15271298</v>
      </c>
      <c r="E1479" s="86">
        <f>QUOTIENT(632700274000,1000000)</f>
        <v>632700</v>
      </c>
      <c r="F1479" s="87">
        <f>QUOTIENT(9824463774000,1000000)</f>
        <v>9824463</v>
      </c>
      <c r="G1479" s="87">
        <f>QUOTIENT(4803287711000,1000000)</f>
        <v>4803287</v>
      </c>
      <c r="H1479" s="88">
        <f>QUOTIENT(10847000000,1000000)</f>
        <v>10847</v>
      </c>
    </row>
    <row r="1480" spans="1:8" ht="21.75" customHeight="1" x14ac:dyDescent="0.15">
      <c r="A1480" s="250"/>
      <c r="B1480" s="24" t="s">
        <v>25</v>
      </c>
      <c r="C1480" s="22">
        <v>598</v>
      </c>
      <c r="D1480" s="86">
        <f>QUOTIENT(25194680000000,1000000)</f>
        <v>25194680</v>
      </c>
      <c r="E1480" s="86">
        <f>QUOTIENT(1852930400000,1000000)</f>
        <v>1852930</v>
      </c>
      <c r="F1480" s="87">
        <f>QUOTIENT(11800505100000,1000000)</f>
        <v>11800505</v>
      </c>
      <c r="G1480" s="87">
        <f>QUOTIENT(11453399500000,1000000)</f>
        <v>11453399</v>
      </c>
      <c r="H1480" s="88">
        <f>QUOTIENT(87845000000,1000000)</f>
        <v>87845</v>
      </c>
    </row>
    <row r="1481" spans="1:8" ht="21.75" customHeight="1" x14ac:dyDescent="0.15">
      <c r="A1481" s="250"/>
      <c r="B1481" s="23" t="s">
        <v>24</v>
      </c>
      <c r="C1481" s="22">
        <v>2047</v>
      </c>
      <c r="D1481" s="86">
        <f>QUOTIENT(58056900000000,1000000)</f>
        <v>58056900</v>
      </c>
      <c r="E1481" s="86">
        <f>QUOTIENT(6779972700000,1000000)</f>
        <v>6779972</v>
      </c>
      <c r="F1481" s="87">
        <f>QUOTIENT(19441062000000,1000000)</f>
        <v>19441062</v>
      </c>
      <c r="G1481" s="87">
        <f>QUOTIENT(31833515300000,1000000)</f>
        <v>31833515</v>
      </c>
      <c r="H1481" s="88">
        <f>QUOTIENT(2350000000,1000000)</f>
        <v>2350</v>
      </c>
    </row>
    <row r="1482" spans="1:8" ht="21.75" customHeight="1" x14ac:dyDescent="0.15">
      <c r="A1482" s="250"/>
      <c r="B1482" s="23" t="s">
        <v>23</v>
      </c>
      <c r="C1482" s="22">
        <v>454</v>
      </c>
      <c r="D1482" s="86">
        <f>QUOTIENT(4829298000000,1000000)</f>
        <v>4829298</v>
      </c>
      <c r="E1482" s="86">
        <f>QUOTIENT(354617600000,1000000)</f>
        <v>354617</v>
      </c>
      <c r="F1482" s="87">
        <f>QUOTIENT(100163100000,1000000)</f>
        <v>100163</v>
      </c>
      <c r="G1482" s="87">
        <f>QUOTIENT(4374517300000,1000000)</f>
        <v>4374517</v>
      </c>
      <c r="H1482" s="88">
        <f>QUOTIENT(0,1000000)</f>
        <v>0</v>
      </c>
    </row>
    <row r="1483" spans="1:8" ht="21.75" customHeight="1" x14ac:dyDescent="0.15">
      <c r="A1483" s="250"/>
      <c r="B1483" s="23" t="s">
        <v>22</v>
      </c>
      <c r="C1483" s="22">
        <v>156</v>
      </c>
      <c r="D1483" s="86">
        <f>QUOTIENT(1288300000000,1000000)</f>
        <v>1288300</v>
      </c>
      <c r="E1483" s="86">
        <f>QUOTIENT(310170000000,1000000)</f>
        <v>310170</v>
      </c>
      <c r="F1483" s="87">
        <f>QUOTIENT(451000000000,1000000)</f>
        <v>451000</v>
      </c>
      <c r="G1483" s="87">
        <f>QUOTIENT(527130000000,1000000)</f>
        <v>527130</v>
      </c>
      <c r="H1483" s="88">
        <f>QUOTIENT(0,1000000)</f>
        <v>0</v>
      </c>
    </row>
    <row r="1484" spans="1:8" ht="21.75" customHeight="1" x14ac:dyDescent="0.15">
      <c r="A1484" s="250"/>
      <c r="B1484" s="23" t="s">
        <v>21</v>
      </c>
      <c r="C1484" s="22">
        <v>23</v>
      </c>
      <c r="D1484" s="86">
        <f>QUOTIENT(151996000000,1000000)</f>
        <v>151996</v>
      </c>
      <c r="E1484" s="86">
        <f>QUOTIENT(115197000000,1000000)</f>
        <v>115197</v>
      </c>
      <c r="F1484" s="87">
        <f>QUOTIENT(21793000000,1000000)</f>
        <v>21793</v>
      </c>
      <c r="G1484" s="87">
        <f>QUOTIENT(15006000000,1000000)</f>
        <v>15006</v>
      </c>
      <c r="H1484" s="88">
        <f>QUOTIENT(0,1000000)</f>
        <v>0</v>
      </c>
    </row>
    <row r="1485" spans="1:8" ht="21.75" customHeight="1" x14ac:dyDescent="0.15">
      <c r="A1485" s="250"/>
      <c r="B1485" s="23" t="s">
        <v>20</v>
      </c>
      <c r="C1485" s="22">
        <v>0</v>
      </c>
      <c r="D1485" s="86">
        <f>QUOTIENT(0,1000000)</f>
        <v>0</v>
      </c>
      <c r="E1485" s="86">
        <f>QUOTIENT(0,1000000)</f>
        <v>0</v>
      </c>
      <c r="F1485" s="87">
        <f>QUOTIENT(0,1000000)</f>
        <v>0</v>
      </c>
      <c r="G1485" s="87">
        <f>QUOTIENT(0,1000000)</f>
        <v>0</v>
      </c>
      <c r="H1485" s="88">
        <f>QUOTIENT(0,1000000)</f>
        <v>0</v>
      </c>
    </row>
    <row r="1486" spans="1:8" ht="21.75" customHeight="1" x14ac:dyDescent="0.15">
      <c r="A1486" s="250"/>
      <c r="B1486" s="23" t="s">
        <v>19</v>
      </c>
      <c r="C1486" s="22">
        <v>221</v>
      </c>
      <c r="D1486" s="86">
        <f>QUOTIENT(5838250000000,1000000)</f>
        <v>5838250</v>
      </c>
      <c r="E1486" s="86">
        <f>QUOTIENT(609550000000,1000000)</f>
        <v>609550</v>
      </c>
      <c r="F1486" s="87">
        <f>QUOTIENT(2813230000000,1000000)</f>
        <v>2813230</v>
      </c>
      <c r="G1486" s="87">
        <f>QUOTIENT(2360050000000,1000000)</f>
        <v>2360050</v>
      </c>
      <c r="H1486" s="88">
        <f>QUOTIENT(55420000000,1000000)</f>
        <v>55420</v>
      </c>
    </row>
    <row r="1487" spans="1:8" ht="21.75" customHeight="1" x14ac:dyDescent="0.15">
      <c r="A1487" s="250"/>
      <c r="B1487" s="23" t="s">
        <v>18</v>
      </c>
      <c r="C1487" s="22">
        <v>3817</v>
      </c>
      <c r="D1487" s="86">
        <f>QUOTIENT(77743931000000,1000000)</f>
        <v>77743931</v>
      </c>
      <c r="E1487" s="86">
        <f>QUOTIENT(18365292100000,1000000)</f>
        <v>18365292</v>
      </c>
      <c r="F1487" s="87">
        <f>QUOTIENT(29769165000000,1000000)</f>
        <v>29769165</v>
      </c>
      <c r="G1487" s="87">
        <f>QUOTIENT(29053112600000,1000000)</f>
        <v>29053112</v>
      </c>
      <c r="H1487" s="88">
        <f>QUOTIENT(556361300000,1000000)</f>
        <v>556361</v>
      </c>
    </row>
    <row r="1488" spans="1:8" ht="21.75" customHeight="1" x14ac:dyDescent="0.15">
      <c r="A1488" s="250"/>
      <c r="B1488" s="23" t="s">
        <v>17</v>
      </c>
      <c r="C1488" s="22">
        <v>658</v>
      </c>
      <c r="D1488" s="86">
        <f>QUOTIENT(15259260000000,1000000)</f>
        <v>15259260</v>
      </c>
      <c r="E1488" s="86">
        <f>QUOTIENT(3548847100000,1000000)</f>
        <v>3548847</v>
      </c>
      <c r="F1488" s="87">
        <f>QUOTIENT(6097920100000,1000000)</f>
        <v>6097920</v>
      </c>
      <c r="G1488" s="87">
        <f>QUOTIENT(5569368500000,1000000)</f>
        <v>5569368</v>
      </c>
      <c r="H1488" s="88">
        <f>QUOTIENT(43124300000,1000000)</f>
        <v>43124</v>
      </c>
    </row>
    <row r="1489" spans="1:8" ht="21.75" customHeight="1" x14ac:dyDescent="0.15">
      <c r="A1489" s="250"/>
      <c r="B1489" s="23" t="s">
        <v>16</v>
      </c>
      <c r="C1489" s="22">
        <v>62947</v>
      </c>
      <c r="D1489" s="86">
        <f>QUOTIENT(16310082168000,1000000)</f>
        <v>16310082</v>
      </c>
      <c r="E1489" s="86">
        <f>QUOTIENT(4612548337000,1000000)</f>
        <v>4612548</v>
      </c>
      <c r="F1489" s="87">
        <f>QUOTIENT(5177545134000,1000000)</f>
        <v>5177545</v>
      </c>
      <c r="G1489" s="87">
        <f>QUOTIENT(6514588697000,1000000)</f>
        <v>6514588</v>
      </c>
      <c r="H1489" s="88">
        <f>QUOTIENT(5400000000,1000000)</f>
        <v>5400</v>
      </c>
    </row>
    <row r="1490" spans="1:8" ht="21.75" customHeight="1" x14ac:dyDescent="0.15">
      <c r="A1490" s="250"/>
      <c r="B1490" s="23" t="s">
        <v>15</v>
      </c>
      <c r="C1490" s="22">
        <v>555</v>
      </c>
      <c r="D1490" s="86">
        <f>QUOTIENT(4207013035000,1000000)</f>
        <v>4207013</v>
      </c>
      <c r="E1490" s="86">
        <f>QUOTIENT(3622410737000,1000000)</f>
        <v>3622410</v>
      </c>
      <c r="F1490" s="87">
        <f>QUOTIENT(464389421000,1000000)</f>
        <v>464389</v>
      </c>
      <c r="G1490" s="87">
        <f>QUOTIENT(120212877000,1000000)</f>
        <v>120212</v>
      </c>
      <c r="H1490" s="88">
        <f>QUOTIENT(0,1000000)</f>
        <v>0</v>
      </c>
    </row>
    <row r="1491" spans="1:8" ht="21.75" customHeight="1" x14ac:dyDescent="0.15">
      <c r="A1491" s="250"/>
      <c r="B1491" s="23" t="s">
        <v>14</v>
      </c>
      <c r="C1491" s="22">
        <v>40</v>
      </c>
      <c r="D1491" s="86">
        <f>QUOTIENT(215700000000,1000000)</f>
        <v>215700</v>
      </c>
      <c r="E1491" s="86">
        <f>QUOTIENT(102003000000,1000000)</f>
        <v>102003</v>
      </c>
      <c r="F1491" s="87">
        <f>QUOTIENT(57000000000,1000000)</f>
        <v>57000</v>
      </c>
      <c r="G1491" s="87">
        <f>QUOTIENT(56695000000,1000000)</f>
        <v>56695</v>
      </c>
      <c r="H1491" s="88">
        <f>QUOTIENT(2000000,1000000)</f>
        <v>2</v>
      </c>
    </row>
    <row r="1492" spans="1:8" ht="21.75" customHeight="1" x14ac:dyDescent="0.15">
      <c r="A1492" s="250"/>
      <c r="B1492" s="23" t="s">
        <v>13</v>
      </c>
      <c r="C1492" s="22">
        <v>623</v>
      </c>
      <c r="D1492" s="86">
        <f>QUOTIENT(2907137453000,1000000)</f>
        <v>2907137</v>
      </c>
      <c r="E1492" s="86">
        <f>QUOTIENT(211753193000,1000000)</f>
        <v>211753</v>
      </c>
      <c r="F1492" s="87">
        <f>QUOTIENT(1550980460000,1000000)</f>
        <v>1550980</v>
      </c>
      <c r="G1492" s="87">
        <f>QUOTIENT(1144403800000,1000000)</f>
        <v>1144403</v>
      </c>
      <c r="H1492" s="88">
        <f>QUOTIENT(0,1000000)</f>
        <v>0</v>
      </c>
    </row>
    <row r="1493" spans="1:8" ht="21.75" customHeight="1" x14ac:dyDescent="0.15">
      <c r="A1493" s="250"/>
      <c r="B1493" s="23" t="s">
        <v>12</v>
      </c>
      <c r="C1493" s="22">
        <v>270</v>
      </c>
      <c r="D1493" s="86">
        <f>QUOTIENT(7239700000000,1000000)</f>
        <v>7239700</v>
      </c>
      <c r="E1493" s="86">
        <f>QUOTIENT(971678000000,1000000)</f>
        <v>971678</v>
      </c>
      <c r="F1493" s="87">
        <f>QUOTIENT(2401950000000,1000000)</f>
        <v>2401950</v>
      </c>
      <c r="G1493" s="87">
        <f>QUOTIENT(3826572000000,1000000)</f>
        <v>3826572</v>
      </c>
      <c r="H1493" s="88">
        <f>QUOTIENT(39500000000,1000000)</f>
        <v>39500</v>
      </c>
    </row>
    <row r="1494" spans="1:8" ht="21.75" customHeight="1" x14ac:dyDescent="0.15">
      <c r="A1494" s="250"/>
      <c r="B1494" s="23" t="s">
        <v>11</v>
      </c>
      <c r="C1494" s="22">
        <v>62</v>
      </c>
      <c r="D1494" s="86">
        <f>QUOTIENT(1423450000000,1000000)</f>
        <v>1423450</v>
      </c>
      <c r="E1494" s="86">
        <f>QUOTIENT(130000000000,1000000)</f>
        <v>130000</v>
      </c>
      <c r="F1494" s="87">
        <f>QUOTIENT(605650000000,1000000)</f>
        <v>605650</v>
      </c>
      <c r="G1494" s="87">
        <f>QUOTIENT(687800000000,1000000)</f>
        <v>687800</v>
      </c>
      <c r="H1494" s="88">
        <f>QUOTIENT(0,1000000)</f>
        <v>0</v>
      </c>
    </row>
    <row r="1495" spans="1:8" ht="21.75" customHeight="1" x14ac:dyDescent="0.15">
      <c r="A1495" s="250"/>
      <c r="B1495" s="23" t="s">
        <v>10</v>
      </c>
      <c r="C1495" s="22">
        <v>0</v>
      </c>
      <c r="D1495" s="86">
        <f t="shared" ref="D1495:G1497" si="38">QUOTIENT(0,1000000)</f>
        <v>0</v>
      </c>
      <c r="E1495" s="86">
        <f t="shared" si="38"/>
        <v>0</v>
      </c>
      <c r="F1495" s="87">
        <f t="shared" si="38"/>
        <v>0</v>
      </c>
      <c r="G1495" s="87">
        <f t="shared" si="38"/>
        <v>0</v>
      </c>
      <c r="H1495" s="88">
        <f>QUOTIENT(0,1000000)</f>
        <v>0</v>
      </c>
    </row>
    <row r="1496" spans="1:8" ht="21.75" customHeight="1" x14ac:dyDescent="0.15">
      <c r="A1496" s="250"/>
      <c r="B1496" s="23" t="s">
        <v>9</v>
      </c>
      <c r="C1496" s="22">
        <v>0</v>
      </c>
      <c r="D1496" s="86">
        <f t="shared" si="38"/>
        <v>0</v>
      </c>
      <c r="E1496" s="86">
        <f t="shared" si="38"/>
        <v>0</v>
      </c>
      <c r="F1496" s="87">
        <f t="shared" si="38"/>
        <v>0</v>
      </c>
      <c r="G1496" s="87">
        <f t="shared" si="38"/>
        <v>0</v>
      </c>
      <c r="H1496" s="88">
        <f>QUOTIENT(0,1000000)</f>
        <v>0</v>
      </c>
    </row>
    <row r="1497" spans="1:8" ht="21.75" customHeight="1" x14ac:dyDescent="0.15">
      <c r="A1497" s="250"/>
      <c r="B1497" s="23" t="s">
        <v>8</v>
      </c>
      <c r="C1497" s="22">
        <v>0</v>
      </c>
      <c r="D1497" s="86">
        <f t="shared" si="38"/>
        <v>0</v>
      </c>
      <c r="E1497" s="86">
        <f t="shared" si="38"/>
        <v>0</v>
      </c>
      <c r="F1497" s="87">
        <f t="shared" si="38"/>
        <v>0</v>
      </c>
      <c r="G1497" s="87">
        <f t="shared" si="38"/>
        <v>0</v>
      </c>
      <c r="H1497" s="88">
        <f>QUOTIENT(0,1000000)</f>
        <v>0</v>
      </c>
    </row>
    <row r="1498" spans="1:8" ht="21.75" customHeight="1" x14ac:dyDescent="0.15">
      <c r="A1498" s="251"/>
      <c r="B1498" s="23" t="s">
        <v>7</v>
      </c>
      <c r="C1498" s="22">
        <v>31</v>
      </c>
      <c r="D1498" s="86">
        <f>QUOTIENT(16985000000,1000000)</f>
        <v>16985</v>
      </c>
      <c r="E1498" s="86">
        <f>QUOTIENT(0,1000000)</f>
        <v>0</v>
      </c>
      <c r="F1498" s="87">
        <f>QUOTIENT(14000000000,1000000)</f>
        <v>14000</v>
      </c>
      <c r="G1498" s="87">
        <f>QUOTIENT(2985000000,1000000)</f>
        <v>2985</v>
      </c>
      <c r="H1498" s="88">
        <f>QUOTIENT(0,1000000)</f>
        <v>0</v>
      </c>
    </row>
    <row r="1499" spans="1:8" ht="21.75" customHeight="1" x14ac:dyDescent="0.15">
      <c r="A1499" s="18" t="s">
        <v>6</v>
      </c>
      <c r="B1499" s="17" t="s">
        <v>5</v>
      </c>
      <c r="C1499" s="16">
        <v>3269</v>
      </c>
      <c r="D1499" s="80">
        <v>24229943</v>
      </c>
      <c r="E1499" s="80">
        <v>1143200</v>
      </c>
      <c r="F1499" s="81">
        <v>13771486</v>
      </c>
      <c r="G1499" s="81">
        <v>7638957</v>
      </c>
      <c r="H1499" s="82">
        <v>1676300</v>
      </c>
    </row>
    <row r="1500" spans="1:8" ht="21.75" customHeight="1" x14ac:dyDescent="0.15">
      <c r="A1500" s="252" t="s">
        <v>4</v>
      </c>
      <c r="B1500" s="12" t="s">
        <v>3</v>
      </c>
      <c r="C1500" s="11">
        <v>5695</v>
      </c>
      <c r="D1500" s="89">
        <v>92999586</v>
      </c>
      <c r="E1500" s="89">
        <v>58142872</v>
      </c>
      <c r="F1500" s="90">
        <v>15961390</v>
      </c>
      <c r="G1500" s="90">
        <v>11956545</v>
      </c>
      <c r="H1500" s="91">
        <v>6938776</v>
      </c>
    </row>
    <row r="1501" spans="1:8" ht="21.75" customHeight="1" thickBot="1" x14ac:dyDescent="0.2">
      <c r="A1501" s="253"/>
      <c r="B1501" s="7" t="s">
        <v>1153</v>
      </c>
      <c r="C1501" s="6">
        <v>7826</v>
      </c>
      <c r="D1501" s="92" t="s">
        <v>2178</v>
      </c>
      <c r="E1501" s="92" t="s">
        <v>2178</v>
      </c>
      <c r="F1501" s="92" t="s">
        <v>2178</v>
      </c>
      <c r="G1501" s="92" t="s">
        <v>2178</v>
      </c>
      <c r="H1501" s="93" t="s">
        <v>2178</v>
      </c>
    </row>
    <row r="1502" spans="1:8" ht="18" customHeight="1" x14ac:dyDescent="0.15">
      <c r="A1502" s="3" t="s">
        <v>1155</v>
      </c>
      <c r="B1502" s="2"/>
      <c r="C1502" s="2"/>
      <c r="D1502" s="2"/>
      <c r="E1502" s="2"/>
      <c r="F1502" s="2"/>
      <c r="G1502" s="2"/>
      <c r="H1502" s="2"/>
    </row>
    <row r="1503" spans="1:8" ht="18" customHeight="1" x14ac:dyDescent="0.15">
      <c r="A1503" s="3" t="s">
        <v>2587</v>
      </c>
      <c r="B1503" s="2"/>
      <c r="C1503" s="2"/>
      <c r="D1503" s="2"/>
      <c r="E1503" s="2"/>
      <c r="F1503" s="2"/>
      <c r="G1503" s="2"/>
      <c r="H1503" s="2"/>
    </row>
    <row r="1504" spans="1:8" ht="18" customHeight="1" x14ac:dyDescent="0.15">
      <c r="A1504" s="3" t="s">
        <v>1156</v>
      </c>
      <c r="B1504" s="2"/>
      <c r="C1504" s="2"/>
      <c r="D1504" s="2"/>
      <c r="E1504" s="2"/>
      <c r="F1504" s="2"/>
      <c r="G1504" s="2"/>
      <c r="H1504" s="2"/>
    </row>
    <row r="1505" spans="1:8" ht="18" customHeight="1" x14ac:dyDescent="0.15">
      <c r="A1505" s="3" t="s">
        <v>2483</v>
      </c>
      <c r="B1505" s="2"/>
      <c r="C1505" s="2"/>
      <c r="D1505" s="2"/>
      <c r="E1505" s="2"/>
      <c r="F1505" s="2"/>
      <c r="G1505" s="2"/>
      <c r="H1505" s="2"/>
    </row>
    <row r="1506" spans="1:8" ht="24" x14ac:dyDescent="0.15">
      <c r="A1506" s="230" t="s">
        <v>2480</v>
      </c>
      <c r="B1506" s="230"/>
      <c r="C1506" s="230"/>
      <c r="D1506" s="230"/>
      <c r="E1506" s="230"/>
      <c r="F1506" s="230"/>
      <c r="G1506" s="230"/>
      <c r="H1506" s="230"/>
    </row>
    <row r="1507" spans="1:8" ht="18" customHeight="1" x14ac:dyDescent="0.15">
      <c r="A1507" s="231"/>
      <c r="B1507" s="231"/>
      <c r="C1507" s="231"/>
      <c r="D1507" s="231"/>
      <c r="E1507" s="231"/>
      <c r="F1507" s="231"/>
      <c r="G1507" s="231"/>
      <c r="H1507" s="231"/>
    </row>
    <row r="1508" spans="1:8" thickBot="1" x14ac:dyDescent="0.2">
      <c r="A1508" s="58" t="s">
        <v>48</v>
      </c>
    </row>
    <row r="1509" spans="1:8" ht="18" customHeight="1" x14ac:dyDescent="0.15">
      <c r="A1509" s="232" t="s">
        <v>47</v>
      </c>
      <c r="B1509" s="235" t="s">
        <v>46</v>
      </c>
      <c r="C1509" s="238" t="s">
        <v>45</v>
      </c>
      <c r="D1509" s="241" t="s">
        <v>44</v>
      </c>
      <c r="E1509" s="106"/>
      <c r="F1509" s="56"/>
      <c r="G1509" s="56"/>
      <c r="H1509" s="55"/>
    </row>
    <row r="1510" spans="1:8" ht="18" customHeight="1" x14ac:dyDescent="0.15">
      <c r="A1510" s="233"/>
      <c r="B1510" s="236"/>
      <c r="C1510" s="239"/>
      <c r="D1510" s="242"/>
      <c r="E1510" s="244" t="s">
        <v>43</v>
      </c>
      <c r="F1510" s="246" t="s">
        <v>42</v>
      </c>
      <c r="G1510" s="246" t="s">
        <v>41</v>
      </c>
      <c r="H1510" s="248" t="s">
        <v>40</v>
      </c>
    </row>
    <row r="1511" spans="1:8" ht="18" customHeight="1" thickBot="1" x14ac:dyDescent="0.2">
      <c r="A1511" s="234"/>
      <c r="B1511" s="237"/>
      <c r="C1511" s="240"/>
      <c r="D1511" s="243"/>
      <c r="E1511" s="245"/>
      <c r="F1511" s="247"/>
      <c r="G1511" s="247"/>
      <c r="H1511" s="249"/>
    </row>
    <row r="1512" spans="1:8" s="60" customFormat="1" ht="18" customHeight="1" thickTop="1" x14ac:dyDescent="0.15">
      <c r="A1512" s="107"/>
      <c r="B1512" s="108"/>
      <c r="C1512" s="52"/>
      <c r="D1512" s="51" t="s">
        <v>39</v>
      </c>
      <c r="E1512" s="50" t="s">
        <v>39</v>
      </c>
      <c r="F1512" s="49" t="s">
        <v>39</v>
      </c>
      <c r="G1512" s="49" t="s">
        <v>39</v>
      </c>
      <c r="H1512" s="48" t="s">
        <v>39</v>
      </c>
    </row>
    <row r="1513" spans="1:8" ht="21.75" customHeight="1" x14ac:dyDescent="0.15">
      <c r="A1513" s="250" t="s">
        <v>38</v>
      </c>
      <c r="B1513" s="61" t="s">
        <v>37</v>
      </c>
      <c r="C1513" s="62">
        <v>3872</v>
      </c>
      <c r="D1513" s="63">
        <f>QUOTIENT(736165964472811,1000000)</f>
        <v>736165964</v>
      </c>
      <c r="E1513" s="63">
        <f>QUOTIENT(271539431528545,1000000)</f>
        <v>271539431</v>
      </c>
      <c r="F1513" s="64">
        <f>QUOTIENT(231779890835673,1000000)</f>
        <v>231779890</v>
      </c>
      <c r="G1513" s="64">
        <f>QUOTIENT(223487290559642,1000000)</f>
        <v>223487290</v>
      </c>
      <c r="H1513" s="65">
        <f>QUOTIENT(9359351548950,1000000)</f>
        <v>9359351</v>
      </c>
    </row>
    <row r="1514" spans="1:8" ht="21.75" customHeight="1" x14ac:dyDescent="0.15">
      <c r="A1514" s="250"/>
      <c r="B1514" s="66" t="s">
        <v>36</v>
      </c>
      <c r="C1514" s="67">
        <v>20</v>
      </c>
      <c r="D1514" s="68">
        <f>QUOTIENT(133678201500,1000000)</f>
        <v>133678</v>
      </c>
      <c r="E1514" s="68">
        <f>QUOTIENT(34210745500,1000000)</f>
        <v>34210</v>
      </c>
      <c r="F1514" s="69">
        <f>QUOTIENT(93074177500,1000000)</f>
        <v>93074</v>
      </c>
      <c r="G1514" s="69">
        <f>QUOTIENT(6392278500,1000000)</f>
        <v>6392</v>
      </c>
      <c r="H1514" s="70">
        <f>QUOTIENT(1000000,1000000)</f>
        <v>1</v>
      </c>
    </row>
    <row r="1515" spans="1:8" ht="21.75" customHeight="1" x14ac:dyDescent="0.15">
      <c r="A1515" s="250"/>
      <c r="B1515" s="66" t="s">
        <v>35</v>
      </c>
      <c r="C1515" s="67">
        <v>110</v>
      </c>
      <c r="D1515" s="68">
        <f>QUOTIENT(0,1000000)</f>
        <v>0</v>
      </c>
      <c r="E1515" s="68">
        <f>QUOTIENT(0,1000000)</f>
        <v>0</v>
      </c>
      <c r="F1515" s="69">
        <f>QUOTIENT(0,1000000)</f>
        <v>0</v>
      </c>
      <c r="G1515" s="69">
        <f>QUOTIENT(0,1000000)</f>
        <v>0</v>
      </c>
      <c r="H1515" s="70">
        <f>QUOTIENT(0,1000000)</f>
        <v>0</v>
      </c>
    </row>
    <row r="1516" spans="1:8" ht="21.75" customHeight="1" x14ac:dyDescent="0.15">
      <c r="A1516" s="250"/>
      <c r="B1516" s="71" t="s">
        <v>34</v>
      </c>
      <c r="C1516" s="72">
        <v>1</v>
      </c>
      <c r="D1516" s="73">
        <f>QUOTIENT(168415191600,1000000)</f>
        <v>168415</v>
      </c>
      <c r="E1516" s="73">
        <f>QUOTIENT(124803385000,1000000)</f>
        <v>124803</v>
      </c>
      <c r="F1516" s="74">
        <f>QUOTIENT(8319908600,1000000)</f>
        <v>8319</v>
      </c>
      <c r="G1516" s="74">
        <f>QUOTIENT(31076179600,1000000)</f>
        <v>31076</v>
      </c>
      <c r="H1516" s="75">
        <f>QUOTIENT(4215718400,1000000)</f>
        <v>4215</v>
      </c>
    </row>
    <row r="1517" spans="1:8" ht="21.75" customHeight="1" x14ac:dyDescent="0.15">
      <c r="A1517" s="250"/>
      <c r="B1517" s="66" t="s">
        <v>33</v>
      </c>
      <c r="C1517" s="67">
        <v>68</v>
      </c>
      <c r="D1517" s="68">
        <f>QUOTIENT(16963436898700,1000000)</f>
        <v>16963436</v>
      </c>
      <c r="E1517" s="68">
        <f>QUOTIENT(4168965677120,1000000)</f>
        <v>4168965</v>
      </c>
      <c r="F1517" s="69">
        <f>QUOTIENT(4821338193700,1000000)</f>
        <v>4821338</v>
      </c>
      <c r="G1517" s="69">
        <f>QUOTIENT(7798498767890,1000000)</f>
        <v>7798498</v>
      </c>
      <c r="H1517" s="70">
        <f>QUOTIENT(174634259990,1000000)</f>
        <v>174634</v>
      </c>
    </row>
    <row r="1518" spans="1:8" ht="21.75" customHeight="1" x14ac:dyDescent="0.15">
      <c r="A1518" s="250"/>
      <c r="B1518" s="76" t="s">
        <v>32</v>
      </c>
      <c r="C1518" s="67">
        <v>204</v>
      </c>
      <c r="D1518" s="68">
        <f>QUOTIENT(59579793174505,1000000)</f>
        <v>59579793</v>
      </c>
      <c r="E1518" s="68">
        <f>QUOTIENT(4369721810763,1000000)</f>
        <v>4369721</v>
      </c>
      <c r="F1518" s="69">
        <f>QUOTIENT(1376454450444,1000000)</f>
        <v>1376454</v>
      </c>
      <c r="G1518" s="69">
        <f>QUOTIENT(53628533044741,1000000)</f>
        <v>53628533</v>
      </c>
      <c r="H1518" s="70">
        <f>QUOTIENT(205083868557,1000000)</f>
        <v>205083</v>
      </c>
    </row>
    <row r="1519" spans="1:8" ht="21.75" customHeight="1" x14ac:dyDescent="0.15">
      <c r="A1519" s="251"/>
      <c r="B1519" s="77" t="s">
        <v>31</v>
      </c>
      <c r="C1519" s="72">
        <v>44</v>
      </c>
      <c r="D1519" s="73">
        <f>QUOTIENT(454818317343,1000000)</f>
        <v>454818</v>
      </c>
      <c r="E1519" s="73">
        <f>QUOTIENT(363173903204,1000000)</f>
        <v>363173</v>
      </c>
      <c r="F1519" s="74">
        <f>QUOTIENT(8526757765,1000000)</f>
        <v>8526</v>
      </c>
      <c r="G1519" s="74">
        <f>QUOTIENT(66619020370,1000000)</f>
        <v>66619</v>
      </c>
      <c r="H1519" s="75">
        <f>QUOTIENT(16498636004,1000000)</f>
        <v>16498</v>
      </c>
    </row>
    <row r="1520" spans="1:8" ht="21.75" customHeight="1" x14ac:dyDescent="0.15">
      <c r="A1520" s="30" t="s">
        <v>30</v>
      </c>
      <c r="B1520" s="78" t="s">
        <v>29</v>
      </c>
      <c r="C1520" s="79">
        <v>28</v>
      </c>
      <c r="D1520" s="80">
        <f>QUOTIENT(107548706558,1000000)</f>
        <v>107548</v>
      </c>
      <c r="E1520" s="80">
        <f>QUOTIENT(94132340205,1000000)</f>
        <v>94132</v>
      </c>
      <c r="F1520" s="81">
        <f>QUOTIENT(671354884,1000000)</f>
        <v>671</v>
      </c>
      <c r="G1520" s="81">
        <f>QUOTIENT(346548420,1000000)</f>
        <v>346</v>
      </c>
      <c r="H1520" s="82">
        <f>QUOTIENT(12398463049,1000000)</f>
        <v>12398</v>
      </c>
    </row>
    <row r="1521" spans="1:8" ht="21.75" customHeight="1" x14ac:dyDescent="0.15">
      <c r="A1521" s="252" t="s">
        <v>28</v>
      </c>
      <c r="B1521" s="17" t="s">
        <v>27</v>
      </c>
      <c r="C1521" s="16">
        <v>3284</v>
      </c>
      <c r="D1521" s="83">
        <f>QUOTIENT(63159051570000,1000000)</f>
        <v>63159051</v>
      </c>
      <c r="E1521" s="83">
        <f>QUOTIENT(9632483260000,1000000)</f>
        <v>9632483</v>
      </c>
      <c r="F1521" s="84">
        <f>QUOTIENT(27896582730000,1000000)</f>
        <v>27896582</v>
      </c>
      <c r="G1521" s="84">
        <f>QUOTIENT(25494230350000,1000000)</f>
        <v>25494230</v>
      </c>
      <c r="H1521" s="85">
        <f>QUOTIENT(135755230000,1000000)</f>
        <v>135755</v>
      </c>
    </row>
    <row r="1522" spans="1:8" ht="21.75" customHeight="1" x14ac:dyDescent="0.15">
      <c r="A1522" s="250"/>
      <c r="B1522" s="23" t="s">
        <v>26</v>
      </c>
      <c r="C1522" s="22">
        <v>3499</v>
      </c>
      <c r="D1522" s="86">
        <f>QUOTIENT(15075979113000,1000000)</f>
        <v>15075979</v>
      </c>
      <c r="E1522" s="86">
        <f>QUOTIENT(598938874000,1000000)</f>
        <v>598938</v>
      </c>
      <c r="F1522" s="87">
        <f>QUOTIENT(9674909134000,1000000)</f>
        <v>9674909</v>
      </c>
      <c r="G1522" s="87">
        <f>QUOTIENT(4791284105000,1000000)</f>
        <v>4791284</v>
      </c>
      <c r="H1522" s="88">
        <f>QUOTIENT(10847000000,1000000)</f>
        <v>10847</v>
      </c>
    </row>
    <row r="1523" spans="1:8" ht="21.75" customHeight="1" x14ac:dyDescent="0.15">
      <c r="A1523" s="250"/>
      <c r="B1523" s="24" t="s">
        <v>25</v>
      </c>
      <c r="C1523" s="22">
        <v>602</v>
      </c>
      <c r="D1523" s="86">
        <f>QUOTIENT(25448830000000,1000000)</f>
        <v>25448830</v>
      </c>
      <c r="E1523" s="86">
        <f>QUOTIENT(1899855200000,1000000)</f>
        <v>1899855</v>
      </c>
      <c r="F1523" s="87">
        <f>QUOTIENT(11901579300000,1000000)</f>
        <v>11901579</v>
      </c>
      <c r="G1523" s="87">
        <f>QUOTIENT(11560752500000,1000000)</f>
        <v>11560752</v>
      </c>
      <c r="H1523" s="88">
        <f>QUOTIENT(86643000000,1000000)</f>
        <v>86643</v>
      </c>
    </row>
    <row r="1524" spans="1:8" ht="21.75" customHeight="1" x14ac:dyDescent="0.15">
      <c r="A1524" s="250"/>
      <c r="B1524" s="23" t="s">
        <v>24</v>
      </c>
      <c r="C1524" s="22">
        <v>2037</v>
      </c>
      <c r="D1524" s="86">
        <f>QUOTIENT(57860700000000,1000000)</f>
        <v>57860700</v>
      </c>
      <c r="E1524" s="86">
        <f>QUOTIENT(6750312700000,1000000)</f>
        <v>6750312</v>
      </c>
      <c r="F1524" s="87">
        <f>QUOTIENT(19249842000000,1000000)</f>
        <v>19249842</v>
      </c>
      <c r="G1524" s="87">
        <f>QUOTIENT(31858195300000,1000000)</f>
        <v>31858195</v>
      </c>
      <c r="H1524" s="88">
        <f>QUOTIENT(2350000000,1000000)</f>
        <v>2350</v>
      </c>
    </row>
    <row r="1525" spans="1:8" ht="21.75" customHeight="1" x14ac:dyDescent="0.15">
      <c r="A1525" s="250"/>
      <c r="B1525" s="23" t="s">
        <v>23</v>
      </c>
      <c r="C1525" s="22">
        <v>450</v>
      </c>
      <c r="D1525" s="86">
        <f>QUOTIENT(4832798000000,1000000)</f>
        <v>4832798</v>
      </c>
      <c r="E1525" s="86">
        <f>QUOTIENT(354801600000,1000000)</f>
        <v>354801</v>
      </c>
      <c r="F1525" s="87">
        <f>QUOTIENT(99979100000,1000000)</f>
        <v>99979</v>
      </c>
      <c r="G1525" s="87">
        <f>QUOTIENT(4378017300000,1000000)</f>
        <v>4378017</v>
      </c>
      <c r="H1525" s="88">
        <f>QUOTIENT(0,1000000)</f>
        <v>0</v>
      </c>
    </row>
    <row r="1526" spans="1:8" ht="21.75" customHeight="1" x14ac:dyDescent="0.15">
      <c r="A1526" s="250"/>
      <c r="B1526" s="23" t="s">
        <v>22</v>
      </c>
      <c r="C1526" s="22">
        <v>156</v>
      </c>
      <c r="D1526" s="86">
        <f>QUOTIENT(1288300000000,1000000)</f>
        <v>1288300</v>
      </c>
      <c r="E1526" s="86">
        <f>QUOTIENT(308870000000,1000000)</f>
        <v>308870</v>
      </c>
      <c r="F1526" s="87">
        <f>QUOTIENT(450300000000,1000000)</f>
        <v>450300</v>
      </c>
      <c r="G1526" s="87">
        <f>QUOTIENT(529130000000,1000000)</f>
        <v>529130</v>
      </c>
      <c r="H1526" s="88">
        <f>QUOTIENT(0,1000000)</f>
        <v>0</v>
      </c>
    </row>
    <row r="1527" spans="1:8" ht="21.75" customHeight="1" x14ac:dyDescent="0.15">
      <c r="A1527" s="250"/>
      <c r="B1527" s="23" t="s">
        <v>21</v>
      </c>
      <c r="C1527" s="22">
        <v>23</v>
      </c>
      <c r="D1527" s="86">
        <f>QUOTIENT(151996000000,1000000)</f>
        <v>151996</v>
      </c>
      <c r="E1527" s="86">
        <f>QUOTIENT(115197000000,1000000)</f>
        <v>115197</v>
      </c>
      <c r="F1527" s="87">
        <f>QUOTIENT(21793000000,1000000)</f>
        <v>21793</v>
      </c>
      <c r="G1527" s="87">
        <f>QUOTIENT(15006000000,1000000)</f>
        <v>15006</v>
      </c>
      <c r="H1527" s="88">
        <f>QUOTIENT(0,1000000)</f>
        <v>0</v>
      </c>
    </row>
    <row r="1528" spans="1:8" ht="21.75" customHeight="1" x14ac:dyDescent="0.15">
      <c r="A1528" s="250"/>
      <c r="B1528" s="23" t="s">
        <v>20</v>
      </c>
      <c r="C1528" s="22">
        <v>0</v>
      </c>
      <c r="D1528" s="86">
        <f>QUOTIENT(0,1000000)</f>
        <v>0</v>
      </c>
      <c r="E1528" s="86">
        <f>QUOTIENT(0,1000000)</f>
        <v>0</v>
      </c>
      <c r="F1528" s="87">
        <f>QUOTIENT(0,1000000)</f>
        <v>0</v>
      </c>
      <c r="G1528" s="87">
        <f>QUOTIENT(0,1000000)</f>
        <v>0</v>
      </c>
      <c r="H1528" s="88">
        <f>QUOTIENT(0,1000000)</f>
        <v>0</v>
      </c>
    </row>
    <row r="1529" spans="1:8" ht="21.75" customHeight="1" x14ac:dyDescent="0.15">
      <c r="A1529" s="250"/>
      <c r="B1529" s="23" t="s">
        <v>19</v>
      </c>
      <c r="C1529" s="22">
        <v>222</v>
      </c>
      <c r="D1529" s="86">
        <f>QUOTIENT(5883170000000,1000000)</f>
        <v>5883170</v>
      </c>
      <c r="E1529" s="86">
        <f>QUOTIENT(591200000000,1000000)</f>
        <v>591200</v>
      </c>
      <c r="F1529" s="87">
        <f>QUOTIENT(2845860000000,1000000)</f>
        <v>2845860</v>
      </c>
      <c r="G1529" s="87">
        <f>QUOTIENT(2388190000000,1000000)</f>
        <v>2388190</v>
      </c>
      <c r="H1529" s="88">
        <f>QUOTIENT(57920000000,1000000)</f>
        <v>57920</v>
      </c>
    </row>
    <row r="1530" spans="1:8" ht="21.75" customHeight="1" x14ac:dyDescent="0.15">
      <c r="A1530" s="250"/>
      <c r="B1530" s="23" t="s">
        <v>18</v>
      </c>
      <c r="C1530" s="22">
        <v>3800</v>
      </c>
      <c r="D1530" s="86">
        <f>QUOTIENT(77257447000000,1000000)</f>
        <v>77257447</v>
      </c>
      <c r="E1530" s="86">
        <f>QUOTIENT(18198153600000,1000000)</f>
        <v>18198153</v>
      </c>
      <c r="F1530" s="87">
        <f>QUOTIENT(29485674700000,1000000)</f>
        <v>29485674</v>
      </c>
      <c r="G1530" s="87">
        <f>QUOTIENT(29018203400000,1000000)</f>
        <v>29018203</v>
      </c>
      <c r="H1530" s="88">
        <f>QUOTIENT(555415300000,1000000)</f>
        <v>555415</v>
      </c>
    </row>
    <row r="1531" spans="1:8" ht="21.75" customHeight="1" x14ac:dyDescent="0.15">
      <c r="A1531" s="250"/>
      <c r="B1531" s="23" t="s">
        <v>17</v>
      </c>
      <c r="C1531" s="22">
        <v>648</v>
      </c>
      <c r="D1531" s="86">
        <f>QUOTIENT(15004060000000,1000000)</f>
        <v>15004060</v>
      </c>
      <c r="E1531" s="86">
        <f>QUOTIENT(3416243600000,1000000)</f>
        <v>3416243</v>
      </c>
      <c r="F1531" s="87">
        <f>QUOTIENT(6026591800000,1000000)</f>
        <v>6026591</v>
      </c>
      <c r="G1531" s="87">
        <f>QUOTIENT(5518400300000,1000000)</f>
        <v>5518400</v>
      </c>
      <c r="H1531" s="88">
        <f>QUOTIENT(42824300000,1000000)</f>
        <v>42824</v>
      </c>
    </row>
    <row r="1532" spans="1:8" ht="21.75" customHeight="1" x14ac:dyDescent="0.15">
      <c r="A1532" s="250"/>
      <c r="B1532" s="23" t="s">
        <v>16</v>
      </c>
      <c r="C1532" s="22">
        <v>62963</v>
      </c>
      <c r="D1532" s="86">
        <f>QUOTIENT(16332445437000,1000000)</f>
        <v>16332445</v>
      </c>
      <c r="E1532" s="86">
        <f>QUOTIENT(4617074606000,1000000)</f>
        <v>4617074</v>
      </c>
      <c r="F1532" s="87">
        <f>QUOTIENT(5194248134000,1000000)</f>
        <v>5194248</v>
      </c>
      <c r="G1532" s="87">
        <f>QUOTIENT(6515722697000,1000000)</f>
        <v>6515722</v>
      </c>
      <c r="H1532" s="88">
        <f>QUOTIENT(5400000000,1000000)</f>
        <v>5400</v>
      </c>
    </row>
    <row r="1533" spans="1:8" ht="21.75" customHeight="1" x14ac:dyDescent="0.15">
      <c r="A1533" s="250"/>
      <c r="B1533" s="23" t="s">
        <v>15</v>
      </c>
      <c r="C1533" s="22">
        <v>556</v>
      </c>
      <c r="D1533" s="86">
        <f>QUOTIENT(4213771304000,1000000)</f>
        <v>4213771</v>
      </c>
      <c r="E1533" s="86">
        <f>QUOTIENT(3629169006000,1000000)</f>
        <v>3629169</v>
      </c>
      <c r="F1533" s="87">
        <f>QUOTIENT(464389421000,1000000)</f>
        <v>464389</v>
      </c>
      <c r="G1533" s="87">
        <f>QUOTIENT(120212877000,1000000)</f>
        <v>120212</v>
      </c>
      <c r="H1533" s="88">
        <f>QUOTIENT(0,1000000)</f>
        <v>0</v>
      </c>
    </row>
    <row r="1534" spans="1:8" ht="21.75" customHeight="1" x14ac:dyDescent="0.15">
      <c r="A1534" s="250"/>
      <c r="B1534" s="23" t="s">
        <v>14</v>
      </c>
      <c r="C1534" s="22">
        <v>40</v>
      </c>
      <c r="D1534" s="86">
        <f>QUOTIENT(215700000000,1000000)</f>
        <v>215700</v>
      </c>
      <c r="E1534" s="86">
        <f>QUOTIENT(101605000000,1000000)</f>
        <v>101605</v>
      </c>
      <c r="F1534" s="87">
        <f>QUOTIENT(53700000000,1000000)</f>
        <v>53700</v>
      </c>
      <c r="G1534" s="87">
        <f>QUOTIENT(60393000000,1000000)</f>
        <v>60393</v>
      </c>
      <c r="H1534" s="88">
        <f>QUOTIENT(2000000,1000000)</f>
        <v>2</v>
      </c>
    </row>
    <row r="1535" spans="1:8" ht="21.75" customHeight="1" x14ac:dyDescent="0.15">
      <c r="A1535" s="250"/>
      <c r="B1535" s="23" t="s">
        <v>13</v>
      </c>
      <c r="C1535" s="22">
        <v>619</v>
      </c>
      <c r="D1535" s="86">
        <f>QUOTIENT(2876726453000,1000000)</f>
        <v>2876726</v>
      </c>
      <c r="E1535" s="86">
        <f>QUOTIENT(211753193000,1000000)</f>
        <v>211753</v>
      </c>
      <c r="F1535" s="87">
        <f>QUOTIENT(1543604460000,1000000)</f>
        <v>1543604</v>
      </c>
      <c r="G1535" s="87">
        <f>QUOTIENT(1121368800000,1000000)</f>
        <v>1121368</v>
      </c>
      <c r="H1535" s="88">
        <f>QUOTIENT(0,1000000)</f>
        <v>0</v>
      </c>
    </row>
    <row r="1536" spans="1:8" ht="21.75" customHeight="1" x14ac:dyDescent="0.15">
      <c r="A1536" s="250"/>
      <c r="B1536" s="23" t="s">
        <v>12</v>
      </c>
      <c r="C1536" s="22">
        <v>265</v>
      </c>
      <c r="D1536" s="86">
        <f>QUOTIENT(7188700000000,1000000)</f>
        <v>7188700</v>
      </c>
      <c r="E1536" s="86">
        <f>QUOTIENT(939698000000,1000000)</f>
        <v>939698</v>
      </c>
      <c r="F1536" s="87">
        <f>QUOTIENT(2388230000000,1000000)</f>
        <v>2388230</v>
      </c>
      <c r="G1536" s="87">
        <f>QUOTIENT(3822272000000,1000000)</f>
        <v>3822272</v>
      </c>
      <c r="H1536" s="88">
        <f>QUOTIENT(38500000000,1000000)</f>
        <v>38500</v>
      </c>
    </row>
    <row r="1537" spans="1:8" ht="21.75" customHeight="1" x14ac:dyDescent="0.15">
      <c r="A1537" s="250"/>
      <c r="B1537" s="23" t="s">
        <v>11</v>
      </c>
      <c r="C1537" s="22">
        <v>62</v>
      </c>
      <c r="D1537" s="86">
        <f>QUOTIENT(1423450000000,1000000)</f>
        <v>1423450</v>
      </c>
      <c r="E1537" s="86">
        <f>QUOTIENT(130000000000,1000000)</f>
        <v>130000</v>
      </c>
      <c r="F1537" s="87">
        <f>QUOTIENT(605650000000,1000000)</f>
        <v>605650</v>
      </c>
      <c r="G1537" s="87">
        <f>QUOTIENT(687800000000,1000000)</f>
        <v>687800</v>
      </c>
      <c r="H1537" s="88">
        <f>QUOTIENT(0,1000000)</f>
        <v>0</v>
      </c>
    </row>
    <row r="1538" spans="1:8" ht="21.75" customHeight="1" x14ac:dyDescent="0.15">
      <c r="A1538" s="250"/>
      <c r="B1538" s="23" t="s">
        <v>10</v>
      </c>
      <c r="C1538" s="22">
        <v>0</v>
      </c>
      <c r="D1538" s="86">
        <f t="shared" ref="D1538:G1540" si="39">QUOTIENT(0,1000000)</f>
        <v>0</v>
      </c>
      <c r="E1538" s="86">
        <f t="shared" si="39"/>
        <v>0</v>
      </c>
      <c r="F1538" s="87">
        <f t="shared" si="39"/>
        <v>0</v>
      </c>
      <c r="G1538" s="87">
        <f t="shared" si="39"/>
        <v>0</v>
      </c>
      <c r="H1538" s="88">
        <f>QUOTIENT(0,1000000)</f>
        <v>0</v>
      </c>
    </row>
    <row r="1539" spans="1:8" ht="21.75" customHeight="1" x14ac:dyDescent="0.15">
      <c r="A1539" s="250"/>
      <c r="B1539" s="23" t="s">
        <v>9</v>
      </c>
      <c r="C1539" s="22">
        <v>0</v>
      </c>
      <c r="D1539" s="86">
        <f t="shared" si="39"/>
        <v>0</v>
      </c>
      <c r="E1539" s="86">
        <f t="shared" si="39"/>
        <v>0</v>
      </c>
      <c r="F1539" s="87">
        <f t="shared" si="39"/>
        <v>0</v>
      </c>
      <c r="G1539" s="87">
        <f t="shared" si="39"/>
        <v>0</v>
      </c>
      <c r="H1539" s="88">
        <f>QUOTIENT(0,1000000)</f>
        <v>0</v>
      </c>
    </row>
    <row r="1540" spans="1:8" ht="21.75" customHeight="1" x14ac:dyDescent="0.15">
      <c r="A1540" s="250"/>
      <c r="B1540" s="23" t="s">
        <v>8</v>
      </c>
      <c r="C1540" s="22">
        <v>0</v>
      </c>
      <c r="D1540" s="86">
        <f t="shared" si="39"/>
        <v>0</v>
      </c>
      <c r="E1540" s="86">
        <f t="shared" si="39"/>
        <v>0</v>
      </c>
      <c r="F1540" s="87">
        <f t="shared" si="39"/>
        <v>0</v>
      </c>
      <c r="G1540" s="87">
        <f t="shared" si="39"/>
        <v>0</v>
      </c>
      <c r="H1540" s="88">
        <f>QUOTIENT(0,1000000)</f>
        <v>0</v>
      </c>
    </row>
    <row r="1541" spans="1:8" ht="21.75" customHeight="1" x14ac:dyDescent="0.15">
      <c r="A1541" s="251"/>
      <c r="B1541" s="23" t="s">
        <v>7</v>
      </c>
      <c r="C1541" s="22">
        <v>31</v>
      </c>
      <c r="D1541" s="86">
        <f>QUOTIENT(16985000000,1000000)</f>
        <v>16985</v>
      </c>
      <c r="E1541" s="86">
        <f>QUOTIENT(0,1000000)</f>
        <v>0</v>
      </c>
      <c r="F1541" s="87">
        <f>QUOTIENT(14000000000,1000000)</f>
        <v>14000</v>
      </c>
      <c r="G1541" s="87">
        <f>QUOTIENT(2985000000,1000000)</f>
        <v>2985</v>
      </c>
      <c r="H1541" s="88">
        <f>QUOTIENT(0,1000000)</f>
        <v>0</v>
      </c>
    </row>
    <row r="1542" spans="1:8" ht="21.75" customHeight="1" x14ac:dyDescent="0.15">
      <c r="A1542" s="18" t="s">
        <v>6</v>
      </c>
      <c r="B1542" s="17" t="s">
        <v>5</v>
      </c>
      <c r="C1542" s="16">
        <v>3290</v>
      </c>
      <c r="D1542" s="80">
        <v>23608848</v>
      </c>
      <c r="E1542" s="80">
        <v>1147100</v>
      </c>
      <c r="F1542" s="81">
        <v>13359213</v>
      </c>
      <c r="G1542" s="81">
        <v>7613831</v>
      </c>
      <c r="H1542" s="82">
        <v>1488704</v>
      </c>
    </row>
    <row r="1543" spans="1:8" ht="21.75" customHeight="1" x14ac:dyDescent="0.15">
      <c r="A1543" s="252" t="s">
        <v>4</v>
      </c>
      <c r="B1543" s="12" t="s">
        <v>3</v>
      </c>
      <c r="C1543" s="11">
        <v>5680</v>
      </c>
      <c r="D1543" s="89">
        <v>92424716</v>
      </c>
      <c r="E1543" s="89">
        <v>58031182</v>
      </c>
      <c r="F1543" s="90">
        <v>15757688</v>
      </c>
      <c r="G1543" s="90">
        <v>11842661</v>
      </c>
      <c r="H1543" s="91">
        <v>6793184</v>
      </c>
    </row>
    <row r="1544" spans="1:8" ht="21.75" customHeight="1" thickBot="1" x14ac:dyDescent="0.2">
      <c r="A1544" s="253"/>
      <c r="B1544" s="7" t="s">
        <v>1153</v>
      </c>
      <c r="C1544" s="6">
        <v>7778</v>
      </c>
      <c r="D1544" s="92" t="s">
        <v>2178</v>
      </c>
      <c r="E1544" s="92" t="s">
        <v>2178</v>
      </c>
      <c r="F1544" s="92" t="s">
        <v>2178</v>
      </c>
      <c r="G1544" s="92" t="s">
        <v>2178</v>
      </c>
      <c r="H1544" s="93" t="s">
        <v>2178</v>
      </c>
    </row>
    <row r="1545" spans="1:8" ht="18" customHeight="1" x14ac:dyDescent="0.15">
      <c r="A1545" s="3" t="s">
        <v>1155</v>
      </c>
      <c r="B1545" s="2"/>
      <c r="C1545" s="2"/>
      <c r="D1545" s="2"/>
      <c r="E1545" s="2"/>
      <c r="F1545" s="2"/>
      <c r="G1545" s="2"/>
      <c r="H1545" s="2"/>
    </row>
    <row r="1546" spans="1:8" ht="18" customHeight="1" x14ac:dyDescent="0.15">
      <c r="A1546" s="3" t="s">
        <v>2587</v>
      </c>
      <c r="B1546" s="2"/>
      <c r="C1546" s="2"/>
      <c r="D1546" s="2"/>
      <c r="E1546" s="2"/>
      <c r="F1546" s="2"/>
      <c r="G1546" s="2"/>
      <c r="H1546" s="2"/>
    </row>
    <row r="1547" spans="1:8" ht="18" customHeight="1" x14ac:dyDescent="0.15">
      <c r="A1547" s="3" t="s">
        <v>1156</v>
      </c>
      <c r="B1547" s="2"/>
      <c r="C1547" s="2"/>
      <c r="D1547" s="2"/>
      <c r="E1547" s="2"/>
      <c r="F1547" s="2"/>
      <c r="G1547" s="2"/>
      <c r="H1547" s="2"/>
    </row>
    <row r="1548" spans="1:8" ht="18" customHeight="1" x14ac:dyDescent="0.15">
      <c r="A1548" s="3" t="s">
        <v>2481</v>
      </c>
      <c r="B1548" s="2"/>
      <c r="C1548" s="2"/>
      <c r="D1548" s="2"/>
      <c r="E1548" s="2"/>
      <c r="F1548" s="2"/>
      <c r="G1548" s="2"/>
      <c r="H1548" s="2"/>
    </row>
    <row r="1549" spans="1:8" ht="24" x14ac:dyDescent="0.15">
      <c r="A1549" s="230" t="s">
        <v>2478</v>
      </c>
      <c r="B1549" s="230"/>
      <c r="C1549" s="230"/>
      <c r="D1549" s="230"/>
      <c r="E1549" s="230"/>
      <c r="F1549" s="230"/>
      <c r="G1549" s="230"/>
      <c r="H1549" s="230"/>
    </row>
    <row r="1550" spans="1:8" ht="18" customHeight="1" x14ac:dyDescent="0.15">
      <c r="A1550" s="231"/>
      <c r="B1550" s="231"/>
      <c r="C1550" s="231"/>
      <c r="D1550" s="231"/>
      <c r="E1550" s="231"/>
      <c r="F1550" s="231"/>
      <c r="G1550" s="231"/>
      <c r="H1550" s="231"/>
    </row>
    <row r="1551" spans="1:8" thickBot="1" x14ac:dyDescent="0.2">
      <c r="A1551" s="58" t="s">
        <v>48</v>
      </c>
    </row>
    <row r="1552" spans="1:8" ht="18" customHeight="1" x14ac:dyDescent="0.15">
      <c r="A1552" s="232" t="s">
        <v>47</v>
      </c>
      <c r="B1552" s="235" t="s">
        <v>46</v>
      </c>
      <c r="C1552" s="238" t="s">
        <v>45</v>
      </c>
      <c r="D1552" s="241" t="s">
        <v>44</v>
      </c>
      <c r="E1552" s="103"/>
      <c r="F1552" s="56"/>
      <c r="G1552" s="56"/>
      <c r="H1552" s="55"/>
    </row>
    <row r="1553" spans="1:8" ht="18" customHeight="1" x14ac:dyDescent="0.15">
      <c r="A1553" s="233"/>
      <c r="B1553" s="236"/>
      <c r="C1553" s="239"/>
      <c r="D1553" s="242"/>
      <c r="E1553" s="244" t="s">
        <v>43</v>
      </c>
      <c r="F1553" s="246" t="s">
        <v>42</v>
      </c>
      <c r="G1553" s="246" t="s">
        <v>41</v>
      </c>
      <c r="H1553" s="248" t="s">
        <v>40</v>
      </c>
    </row>
    <row r="1554" spans="1:8" ht="18" customHeight="1" thickBot="1" x14ac:dyDescent="0.2">
      <c r="A1554" s="234"/>
      <c r="B1554" s="237"/>
      <c r="C1554" s="240"/>
      <c r="D1554" s="243"/>
      <c r="E1554" s="245"/>
      <c r="F1554" s="247"/>
      <c r="G1554" s="247"/>
      <c r="H1554" s="249"/>
    </row>
    <row r="1555" spans="1:8" s="60" customFormat="1" ht="18" customHeight="1" thickTop="1" x14ac:dyDescent="0.15">
      <c r="A1555" s="104"/>
      <c r="B1555" s="105"/>
      <c r="C1555" s="52"/>
      <c r="D1555" s="51" t="s">
        <v>39</v>
      </c>
      <c r="E1555" s="50" t="s">
        <v>39</v>
      </c>
      <c r="F1555" s="49" t="s">
        <v>39</v>
      </c>
      <c r="G1555" s="49" t="s">
        <v>39</v>
      </c>
      <c r="H1555" s="48" t="s">
        <v>39</v>
      </c>
    </row>
    <row r="1556" spans="1:8" ht="21.75" customHeight="1" x14ac:dyDescent="0.15">
      <c r="A1556" s="250" t="s">
        <v>38</v>
      </c>
      <c r="B1556" s="61" t="s">
        <v>37</v>
      </c>
      <c r="C1556" s="62">
        <v>3873</v>
      </c>
      <c r="D1556" s="63">
        <f>QUOTIENT(750523542564262,1000000)</f>
        <v>750523542</v>
      </c>
      <c r="E1556" s="63">
        <f>QUOTIENT(284718304581928,1000000)</f>
        <v>284718304</v>
      </c>
      <c r="F1556" s="64">
        <f>QUOTIENT(225115489724069,1000000)</f>
        <v>225115489</v>
      </c>
      <c r="G1556" s="64">
        <f>QUOTIENT(230443581831646,1000000)</f>
        <v>230443581</v>
      </c>
      <c r="H1556" s="65">
        <f>QUOTIENT(10246166426617,1000000)</f>
        <v>10246166</v>
      </c>
    </row>
    <row r="1557" spans="1:8" ht="21.75" customHeight="1" x14ac:dyDescent="0.15">
      <c r="A1557" s="250"/>
      <c r="B1557" s="66" t="s">
        <v>36</v>
      </c>
      <c r="C1557" s="67">
        <v>23</v>
      </c>
      <c r="D1557" s="68">
        <f>QUOTIENT(142735318500,1000000)</f>
        <v>142735</v>
      </c>
      <c r="E1557" s="68">
        <f>QUOTIENT(38696142000,1000000)</f>
        <v>38696</v>
      </c>
      <c r="F1557" s="69">
        <f>QUOTIENT(95598899000,1000000)</f>
        <v>95598</v>
      </c>
      <c r="G1557" s="69">
        <f>QUOTIENT(8436170500,1000000)</f>
        <v>8436</v>
      </c>
      <c r="H1557" s="70">
        <f>QUOTIENT(4107000,1000000)</f>
        <v>4</v>
      </c>
    </row>
    <row r="1558" spans="1:8" ht="21.75" customHeight="1" x14ac:dyDescent="0.15">
      <c r="A1558" s="250"/>
      <c r="B1558" s="66" t="s">
        <v>35</v>
      </c>
      <c r="C1558" s="67">
        <v>114</v>
      </c>
      <c r="D1558" s="68">
        <f>QUOTIENT(0,1000000)</f>
        <v>0</v>
      </c>
      <c r="E1558" s="68">
        <f>QUOTIENT(0,1000000)</f>
        <v>0</v>
      </c>
      <c r="F1558" s="69">
        <f>QUOTIENT(0,1000000)</f>
        <v>0</v>
      </c>
      <c r="G1558" s="69">
        <f>QUOTIENT(0,1000000)</f>
        <v>0</v>
      </c>
      <c r="H1558" s="70">
        <f>QUOTIENT(0,1000000)</f>
        <v>0</v>
      </c>
    </row>
    <row r="1559" spans="1:8" ht="21.75" customHeight="1" x14ac:dyDescent="0.15">
      <c r="A1559" s="250"/>
      <c r="B1559" s="71" t="s">
        <v>34</v>
      </c>
      <c r="C1559" s="72">
        <v>1</v>
      </c>
      <c r="D1559" s="73">
        <f>QUOTIENT(168415191600,1000000)</f>
        <v>168415</v>
      </c>
      <c r="E1559" s="73">
        <f>QUOTIENT(125186005200,1000000)</f>
        <v>125186</v>
      </c>
      <c r="F1559" s="74">
        <f>QUOTIENT(8236203000,1000000)</f>
        <v>8236</v>
      </c>
      <c r="G1559" s="74">
        <f>QUOTIENT(30759905600,1000000)</f>
        <v>30759</v>
      </c>
      <c r="H1559" s="75">
        <f>QUOTIENT(4233077800,1000000)</f>
        <v>4233</v>
      </c>
    </row>
    <row r="1560" spans="1:8" ht="21.75" customHeight="1" x14ac:dyDescent="0.15">
      <c r="A1560" s="250"/>
      <c r="B1560" s="66" t="s">
        <v>33</v>
      </c>
      <c r="C1560" s="67">
        <v>68</v>
      </c>
      <c r="D1560" s="68">
        <f>QUOTIENT(16509883696300,1000000)</f>
        <v>16509883</v>
      </c>
      <c r="E1560" s="68">
        <f>QUOTIENT(4067095244260,1000000)</f>
        <v>4067095</v>
      </c>
      <c r="F1560" s="69">
        <f>QUOTIENT(4668654931620,1000000)</f>
        <v>4668654</v>
      </c>
      <c r="G1560" s="69">
        <f>QUOTIENT(7618314382650,1000000)</f>
        <v>7618314</v>
      </c>
      <c r="H1560" s="70">
        <f>QUOTIENT(155819137770,1000000)</f>
        <v>155819</v>
      </c>
    </row>
    <row r="1561" spans="1:8" ht="21.75" customHeight="1" x14ac:dyDescent="0.15">
      <c r="A1561" s="250"/>
      <c r="B1561" s="76" t="s">
        <v>32</v>
      </c>
      <c r="C1561" s="67">
        <v>204</v>
      </c>
      <c r="D1561" s="68">
        <f>QUOTIENT(60777418063871,1000000)</f>
        <v>60777418</v>
      </c>
      <c r="E1561" s="68">
        <f>QUOTIENT(4541310319711,1000000)</f>
        <v>4541310</v>
      </c>
      <c r="F1561" s="69">
        <f>QUOTIENT(1593975382437,1000000)</f>
        <v>1593975</v>
      </c>
      <c r="G1561" s="69">
        <f>QUOTIENT(54453645999967,1000000)</f>
        <v>54453645</v>
      </c>
      <c r="H1561" s="70">
        <f>QUOTIENT(188486361756,1000000)</f>
        <v>188486</v>
      </c>
    </row>
    <row r="1562" spans="1:8" ht="21.75" customHeight="1" x14ac:dyDescent="0.15">
      <c r="A1562" s="251"/>
      <c r="B1562" s="77" t="s">
        <v>31</v>
      </c>
      <c r="C1562" s="72">
        <v>44</v>
      </c>
      <c r="D1562" s="73">
        <f>QUOTIENT(452222686019,1000000)</f>
        <v>452222</v>
      </c>
      <c r="E1562" s="73">
        <f>QUOTIENT(366682758557,1000000)</f>
        <v>366682</v>
      </c>
      <c r="F1562" s="74">
        <f>QUOTIENT(6122558303,1000000)</f>
        <v>6122</v>
      </c>
      <c r="G1562" s="74">
        <f>QUOTIENT(62956709590,1000000)</f>
        <v>62956</v>
      </c>
      <c r="H1562" s="75">
        <f>QUOTIENT(16460659569,1000000)</f>
        <v>16460</v>
      </c>
    </row>
    <row r="1563" spans="1:8" ht="21.75" customHeight="1" x14ac:dyDescent="0.15">
      <c r="A1563" s="30" t="s">
        <v>30</v>
      </c>
      <c r="B1563" s="78" t="s">
        <v>29</v>
      </c>
      <c r="C1563" s="79">
        <v>28</v>
      </c>
      <c r="D1563" s="80">
        <f>QUOTIENT(106337732872,1000000)</f>
        <v>106337</v>
      </c>
      <c r="E1563" s="80">
        <f>QUOTIENT(93342780929,1000000)</f>
        <v>93342</v>
      </c>
      <c r="F1563" s="81">
        <f>QUOTIENT(655915804,1000000)</f>
        <v>655</v>
      </c>
      <c r="G1563" s="81">
        <f>QUOTIENT(336735000,1000000)</f>
        <v>336</v>
      </c>
      <c r="H1563" s="82">
        <f>QUOTIENT(12002301139,1000000)</f>
        <v>12002</v>
      </c>
    </row>
    <row r="1564" spans="1:8" ht="21.75" customHeight="1" x14ac:dyDescent="0.15">
      <c r="A1564" s="252" t="s">
        <v>28</v>
      </c>
      <c r="B1564" s="17" t="s">
        <v>27</v>
      </c>
      <c r="C1564" s="16">
        <v>3261</v>
      </c>
      <c r="D1564" s="83">
        <f>QUOTIENT(62682151570000,1000000)</f>
        <v>62682151</v>
      </c>
      <c r="E1564" s="83">
        <f>QUOTIENT(9606676630000,1000000)</f>
        <v>9606676</v>
      </c>
      <c r="F1564" s="84">
        <f>QUOTIENT(27516928530000,1000000)</f>
        <v>27516928</v>
      </c>
      <c r="G1564" s="84">
        <f>QUOTIENT(25431152680000,1000000)</f>
        <v>25431152</v>
      </c>
      <c r="H1564" s="85">
        <f>QUOTIENT(127393730000,1000000)</f>
        <v>127393</v>
      </c>
    </row>
    <row r="1565" spans="1:8" ht="21.75" customHeight="1" x14ac:dyDescent="0.15">
      <c r="A1565" s="250"/>
      <c r="B1565" s="23" t="s">
        <v>26</v>
      </c>
      <c r="C1565" s="22">
        <v>3487</v>
      </c>
      <c r="D1565" s="86">
        <f>QUOTIENT(14984504948000,1000000)</f>
        <v>14984504</v>
      </c>
      <c r="E1565" s="86">
        <f>QUOTIENT(579302718000,1000000)</f>
        <v>579302</v>
      </c>
      <c r="F1565" s="87">
        <f>QUOTIENT(9676002374000,1000000)</f>
        <v>9676002</v>
      </c>
      <c r="G1565" s="87">
        <f>QUOTIENT(4718352856000,1000000)</f>
        <v>4718352</v>
      </c>
      <c r="H1565" s="88">
        <f>QUOTIENT(10847000000,1000000)</f>
        <v>10847</v>
      </c>
    </row>
    <row r="1566" spans="1:8" ht="21.75" customHeight="1" x14ac:dyDescent="0.15">
      <c r="A1566" s="250"/>
      <c r="B1566" s="24" t="s">
        <v>25</v>
      </c>
      <c r="C1566" s="22">
        <v>605</v>
      </c>
      <c r="D1566" s="86">
        <f>QUOTIENT(25628830000000,1000000)</f>
        <v>25628830</v>
      </c>
      <c r="E1566" s="86">
        <f>QUOTIENT(1874925700000,1000000)</f>
        <v>1874925</v>
      </c>
      <c r="F1566" s="87">
        <f>QUOTIENT(12002195900000,1000000)</f>
        <v>12002195</v>
      </c>
      <c r="G1566" s="87">
        <f>QUOTIENT(11668665400000,1000000)</f>
        <v>11668665</v>
      </c>
      <c r="H1566" s="88">
        <f>QUOTIENT(83043000000,1000000)</f>
        <v>83043</v>
      </c>
    </row>
    <row r="1567" spans="1:8" ht="21.75" customHeight="1" x14ac:dyDescent="0.15">
      <c r="A1567" s="250"/>
      <c r="B1567" s="23" t="s">
        <v>24</v>
      </c>
      <c r="C1567" s="22">
        <v>2019</v>
      </c>
      <c r="D1567" s="86">
        <f>QUOTIENT(58091400000000,1000000)</f>
        <v>58091400</v>
      </c>
      <c r="E1567" s="86">
        <f>QUOTIENT(6742782700000,1000000)</f>
        <v>6742782</v>
      </c>
      <c r="F1567" s="87">
        <f>QUOTIENT(19255942000000,1000000)</f>
        <v>19255942</v>
      </c>
      <c r="G1567" s="87">
        <f>QUOTIENT(32090325300000,1000000)</f>
        <v>32090325</v>
      </c>
      <c r="H1567" s="88">
        <f>QUOTIENT(2350000000,1000000)</f>
        <v>2350</v>
      </c>
    </row>
    <row r="1568" spans="1:8" ht="21.75" customHeight="1" x14ac:dyDescent="0.15">
      <c r="A1568" s="250"/>
      <c r="B1568" s="23" t="s">
        <v>23</v>
      </c>
      <c r="C1568" s="22">
        <v>447</v>
      </c>
      <c r="D1568" s="86">
        <f>QUOTIENT(4826798000000,1000000)</f>
        <v>4826798</v>
      </c>
      <c r="E1568" s="86">
        <f>QUOTIENT(365341500000,1000000)</f>
        <v>365341</v>
      </c>
      <c r="F1568" s="87">
        <f>QUOTIENT(95380400000,1000000)</f>
        <v>95380</v>
      </c>
      <c r="G1568" s="87">
        <f>QUOTIENT(4366076100000,1000000)</f>
        <v>4366076</v>
      </c>
      <c r="H1568" s="88">
        <f>QUOTIENT(0,1000000)</f>
        <v>0</v>
      </c>
    </row>
    <row r="1569" spans="1:8" ht="21.75" customHeight="1" x14ac:dyDescent="0.15">
      <c r="A1569" s="250"/>
      <c r="B1569" s="23" t="s">
        <v>22</v>
      </c>
      <c r="C1569" s="22">
        <v>155</v>
      </c>
      <c r="D1569" s="86">
        <f>QUOTIENT(1285300000000,1000000)</f>
        <v>1285300</v>
      </c>
      <c r="E1569" s="86">
        <f>QUOTIENT(307670000000,1000000)</f>
        <v>307670</v>
      </c>
      <c r="F1569" s="87">
        <f>QUOTIENT(450300000000,1000000)</f>
        <v>450300</v>
      </c>
      <c r="G1569" s="87">
        <f>QUOTIENT(527330000000,1000000)</f>
        <v>527330</v>
      </c>
      <c r="H1569" s="88">
        <f>QUOTIENT(0,1000000)</f>
        <v>0</v>
      </c>
    </row>
    <row r="1570" spans="1:8" ht="21.75" customHeight="1" x14ac:dyDescent="0.15">
      <c r="A1570" s="250"/>
      <c r="B1570" s="23" t="s">
        <v>21</v>
      </c>
      <c r="C1570" s="22">
        <v>23</v>
      </c>
      <c r="D1570" s="86">
        <f>QUOTIENT(151996000000,1000000)</f>
        <v>151996</v>
      </c>
      <c r="E1570" s="86">
        <f>QUOTIENT(115197000000,1000000)</f>
        <v>115197</v>
      </c>
      <c r="F1570" s="87">
        <f>QUOTIENT(21793000000,1000000)</f>
        <v>21793</v>
      </c>
      <c r="G1570" s="87">
        <f>QUOTIENT(15006000000,1000000)</f>
        <v>15006</v>
      </c>
      <c r="H1570" s="88">
        <f>QUOTIENT(0,1000000)</f>
        <v>0</v>
      </c>
    </row>
    <row r="1571" spans="1:8" ht="21.75" customHeight="1" x14ac:dyDescent="0.15">
      <c r="A1571" s="250"/>
      <c r="B1571" s="23" t="s">
        <v>20</v>
      </c>
      <c r="C1571" s="22">
        <v>0</v>
      </c>
      <c r="D1571" s="86">
        <f>QUOTIENT(0,1000000)</f>
        <v>0</v>
      </c>
      <c r="E1571" s="86">
        <f>QUOTIENT(0,1000000)</f>
        <v>0</v>
      </c>
      <c r="F1571" s="87">
        <f>QUOTIENT(0,1000000)</f>
        <v>0</v>
      </c>
      <c r="G1571" s="87">
        <f>QUOTIENT(0,1000000)</f>
        <v>0</v>
      </c>
      <c r="H1571" s="88">
        <f>QUOTIENT(0,1000000)</f>
        <v>0</v>
      </c>
    </row>
    <row r="1572" spans="1:8" ht="21.75" customHeight="1" x14ac:dyDescent="0.15">
      <c r="A1572" s="250"/>
      <c r="B1572" s="23" t="s">
        <v>19</v>
      </c>
      <c r="C1572" s="22">
        <v>223</v>
      </c>
      <c r="D1572" s="86">
        <f>QUOTIENT(5921440000000,1000000)</f>
        <v>5921440</v>
      </c>
      <c r="E1572" s="86">
        <f>QUOTIENT(549390000000,1000000)</f>
        <v>549390</v>
      </c>
      <c r="F1572" s="87">
        <f>QUOTIENT(2898700000000,1000000)</f>
        <v>2898700</v>
      </c>
      <c r="G1572" s="87">
        <f>QUOTIENT(2420930000000,1000000)</f>
        <v>2420930</v>
      </c>
      <c r="H1572" s="88">
        <f>QUOTIENT(52420000000,1000000)</f>
        <v>52420</v>
      </c>
    </row>
    <row r="1573" spans="1:8" ht="21.75" customHeight="1" x14ac:dyDescent="0.15">
      <c r="A1573" s="250"/>
      <c r="B1573" s="23" t="s">
        <v>18</v>
      </c>
      <c r="C1573" s="22">
        <v>3769</v>
      </c>
      <c r="D1573" s="86">
        <f>QUOTIENT(76381865500000,1000000)</f>
        <v>76381865</v>
      </c>
      <c r="E1573" s="86">
        <f>QUOTIENT(18050511900000,1000000)</f>
        <v>18050511</v>
      </c>
      <c r="F1573" s="87">
        <f>QUOTIENT(29321535100000,1000000)</f>
        <v>29321535</v>
      </c>
      <c r="G1573" s="87">
        <f>QUOTIENT(28473200200000,1000000)</f>
        <v>28473200</v>
      </c>
      <c r="H1573" s="88">
        <f>QUOTIENT(536618300000,1000000)</f>
        <v>536618</v>
      </c>
    </row>
    <row r="1574" spans="1:8" ht="21.75" customHeight="1" x14ac:dyDescent="0.15">
      <c r="A1574" s="250"/>
      <c r="B1574" s="23" t="s">
        <v>17</v>
      </c>
      <c r="C1574" s="22">
        <v>640</v>
      </c>
      <c r="D1574" s="86">
        <f>QUOTIENT(14674060000000,1000000)</f>
        <v>14674060</v>
      </c>
      <c r="E1574" s="86">
        <f>QUOTIENT(3319056300000,1000000)</f>
        <v>3319056</v>
      </c>
      <c r="F1574" s="87">
        <f>QUOTIENT(6015766300000,1000000)</f>
        <v>6015766</v>
      </c>
      <c r="G1574" s="87">
        <f>QUOTIENT(5297926100000,1000000)</f>
        <v>5297926</v>
      </c>
      <c r="H1574" s="88">
        <f>QUOTIENT(41311300000,1000000)</f>
        <v>41311</v>
      </c>
    </row>
    <row r="1575" spans="1:8" ht="21.75" customHeight="1" x14ac:dyDescent="0.15">
      <c r="A1575" s="250"/>
      <c r="B1575" s="23" t="s">
        <v>16</v>
      </c>
      <c r="C1575" s="22">
        <v>62902</v>
      </c>
      <c r="D1575" s="86">
        <f>QUOTIENT(16408132817000,1000000)</f>
        <v>16408132</v>
      </c>
      <c r="E1575" s="86">
        <f>QUOTIENT(4674244033000,1000000)</f>
        <v>4674244</v>
      </c>
      <c r="F1575" s="87">
        <f>QUOTIENT(5211058134000,1000000)</f>
        <v>5211058</v>
      </c>
      <c r="G1575" s="87">
        <f>QUOTIENT(6517430650000,1000000)</f>
        <v>6517430</v>
      </c>
      <c r="H1575" s="88">
        <f>QUOTIENT(5400000000,1000000)</f>
        <v>5400</v>
      </c>
    </row>
    <row r="1576" spans="1:8" ht="21.75" customHeight="1" x14ac:dyDescent="0.15">
      <c r="A1576" s="250"/>
      <c r="B1576" s="23" t="s">
        <v>15</v>
      </c>
      <c r="C1576" s="22">
        <v>563</v>
      </c>
      <c r="D1576" s="86">
        <f>QUOTIENT(4259907684000,1000000)</f>
        <v>4259907</v>
      </c>
      <c r="E1576" s="86">
        <f>QUOTIENT(3672685433000,1000000)</f>
        <v>3672685</v>
      </c>
      <c r="F1576" s="87">
        <f>QUOTIENT(464495421000,1000000)</f>
        <v>464495</v>
      </c>
      <c r="G1576" s="87">
        <f>QUOTIENT(122726830000,1000000)</f>
        <v>122726</v>
      </c>
      <c r="H1576" s="88">
        <f>QUOTIENT(0,1000000)</f>
        <v>0</v>
      </c>
    </row>
    <row r="1577" spans="1:8" ht="21.75" customHeight="1" x14ac:dyDescent="0.15">
      <c r="A1577" s="250"/>
      <c r="B1577" s="23" t="s">
        <v>14</v>
      </c>
      <c r="C1577" s="22">
        <v>40</v>
      </c>
      <c r="D1577" s="86">
        <f>QUOTIENT(215700000000,1000000)</f>
        <v>215700</v>
      </c>
      <c r="E1577" s="86">
        <f>QUOTIENT(101808000000,1000000)</f>
        <v>101808</v>
      </c>
      <c r="F1577" s="87">
        <f>QUOTIENT(53400000000,1000000)</f>
        <v>53400</v>
      </c>
      <c r="G1577" s="87">
        <f>QUOTIENT(60490000000,1000000)</f>
        <v>60490</v>
      </c>
      <c r="H1577" s="88">
        <f>QUOTIENT(2000000,1000000)</f>
        <v>2</v>
      </c>
    </row>
    <row r="1578" spans="1:8" ht="21.75" customHeight="1" x14ac:dyDescent="0.15">
      <c r="A1578" s="250"/>
      <c r="B1578" s="23" t="s">
        <v>13</v>
      </c>
      <c r="C1578" s="22">
        <v>613</v>
      </c>
      <c r="D1578" s="86">
        <f>QUOTIENT(2822587628000,1000000)</f>
        <v>2822587</v>
      </c>
      <c r="E1578" s="86">
        <f>QUOTIENT(217806193000,1000000)</f>
        <v>217806</v>
      </c>
      <c r="F1578" s="87">
        <f>QUOTIENT(1495731635000,1000000)</f>
        <v>1495731</v>
      </c>
      <c r="G1578" s="87">
        <f>QUOTIENT(1109049800000,1000000)</f>
        <v>1109049</v>
      </c>
      <c r="H1578" s="88">
        <f>QUOTIENT(0,1000000)</f>
        <v>0</v>
      </c>
    </row>
    <row r="1579" spans="1:8" ht="21.75" customHeight="1" x14ac:dyDescent="0.15">
      <c r="A1579" s="250"/>
      <c r="B1579" s="23" t="s">
        <v>12</v>
      </c>
      <c r="C1579" s="22">
        <v>264</v>
      </c>
      <c r="D1579" s="86">
        <f>QUOTIENT(7133800000000,1000000)</f>
        <v>7133800</v>
      </c>
      <c r="E1579" s="86">
        <f>QUOTIENT(931500000000,1000000)</f>
        <v>931500</v>
      </c>
      <c r="F1579" s="87">
        <f>QUOTIENT(2363430000000,1000000)</f>
        <v>2363430</v>
      </c>
      <c r="G1579" s="87">
        <f>QUOTIENT(3800370000000,1000000)</f>
        <v>3800370</v>
      </c>
      <c r="H1579" s="88">
        <f>QUOTIENT(38500000000,1000000)</f>
        <v>38500</v>
      </c>
    </row>
    <row r="1580" spans="1:8" ht="21.75" customHeight="1" x14ac:dyDescent="0.15">
      <c r="A1580" s="250"/>
      <c r="B1580" s="23" t="s">
        <v>11</v>
      </c>
      <c r="C1580" s="22">
        <v>59</v>
      </c>
      <c r="D1580" s="86">
        <f>QUOTIENT(1410250000000,1000000)</f>
        <v>1410250</v>
      </c>
      <c r="E1580" s="86">
        <f>QUOTIENT(130300000000,1000000)</f>
        <v>130300</v>
      </c>
      <c r="F1580" s="87">
        <f>QUOTIENT(592150000000,1000000)</f>
        <v>592150</v>
      </c>
      <c r="G1580" s="87">
        <f>QUOTIENT(687800000000,1000000)</f>
        <v>687800</v>
      </c>
      <c r="H1580" s="88">
        <f>QUOTIENT(0,1000000)</f>
        <v>0</v>
      </c>
    </row>
    <row r="1581" spans="1:8" ht="21.75" customHeight="1" x14ac:dyDescent="0.15">
      <c r="A1581" s="250"/>
      <c r="B1581" s="23" t="s">
        <v>10</v>
      </c>
      <c r="C1581" s="22">
        <v>0</v>
      </c>
      <c r="D1581" s="86">
        <f t="shared" ref="D1581:G1583" si="40">QUOTIENT(0,1000000)</f>
        <v>0</v>
      </c>
      <c r="E1581" s="86">
        <f t="shared" si="40"/>
        <v>0</v>
      </c>
      <c r="F1581" s="87">
        <f t="shared" si="40"/>
        <v>0</v>
      </c>
      <c r="G1581" s="87">
        <f t="shared" si="40"/>
        <v>0</v>
      </c>
      <c r="H1581" s="88">
        <f>QUOTIENT(0,1000000)</f>
        <v>0</v>
      </c>
    </row>
    <row r="1582" spans="1:8" ht="21.75" customHeight="1" x14ac:dyDescent="0.15">
      <c r="A1582" s="250"/>
      <c r="B1582" s="23" t="s">
        <v>9</v>
      </c>
      <c r="C1582" s="22">
        <v>0</v>
      </c>
      <c r="D1582" s="86">
        <f t="shared" si="40"/>
        <v>0</v>
      </c>
      <c r="E1582" s="86">
        <f t="shared" si="40"/>
        <v>0</v>
      </c>
      <c r="F1582" s="87">
        <f t="shared" si="40"/>
        <v>0</v>
      </c>
      <c r="G1582" s="87">
        <f t="shared" si="40"/>
        <v>0</v>
      </c>
      <c r="H1582" s="88">
        <f>QUOTIENT(0,1000000)</f>
        <v>0</v>
      </c>
    </row>
    <row r="1583" spans="1:8" ht="21.75" customHeight="1" x14ac:dyDescent="0.15">
      <c r="A1583" s="250"/>
      <c r="B1583" s="23" t="s">
        <v>8</v>
      </c>
      <c r="C1583" s="22">
        <v>0</v>
      </c>
      <c r="D1583" s="86">
        <f t="shared" si="40"/>
        <v>0</v>
      </c>
      <c r="E1583" s="86">
        <f t="shared" si="40"/>
        <v>0</v>
      </c>
      <c r="F1583" s="87">
        <f t="shared" si="40"/>
        <v>0</v>
      </c>
      <c r="G1583" s="87">
        <f t="shared" si="40"/>
        <v>0</v>
      </c>
      <c r="H1583" s="88">
        <f>QUOTIENT(0,1000000)</f>
        <v>0</v>
      </c>
    </row>
    <row r="1584" spans="1:8" ht="21.75" customHeight="1" x14ac:dyDescent="0.15">
      <c r="A1584" s="251"/>
      <c r="B1584" s="23" t="s">
        <v>7</v>
      </c>
      <c r="C1584" s="22">
        <v>30</v>
      </c>
      <c r="D1584" s="86">
        <f>QUOTIENT(16885000000,1000000)</f>
        <v>16885</v>
      </c>
      <c r="E1584" s="86">
        <f>QUOTIENT(0,1000000)</f>
        <v>0</v>
      </c>
      <c r="F1584" s="87">
        <f>QUOTIENT(14000000000,1000000)</f>
        <v>14000</v>
      </c>
      <c r="G1584" s="87">
        <f>QUOTIENT(2885000000,1000000)</f>
        <v>2885</v>
      </c>
      <c r="H1584" s="88">
        <f>QUOTIENT(0,1000000)</f>
        <v>0</v>
      </c>
    </row>
    <row r="1585" spans="1:8" ht="21.75" customHeight="1" x14ac:dyDescent="0.15">
      <c r="A1585" s="18" t="s">
        <v>6</v>
      </c>
      <c r="B1585" s="17" t="s">
        <v>5</v>
      </c>
      <c r="C1585" s="16">
        <v>3198</v>
      </c>
      <c r="D1585" s="80">
        <v>19677537</v>
      </c>
      <c r="E1585" s="80">
        <v>1106900</v>
      </c>
      <c r="F1585" s="81">
        <v>10733065</v>
      </c>
      <c r="G1585" s="81">
        <v>6534672</v>
      </c>
      <c r="H1585" s="82">
        <v>1302900</v>
      </c>
    </row>
    <row r="1586" spans="1:8" ht="21.75" customHeight="1" x14ac:dyDescent="0.15">
      <c r="A1586" s="252" t="s">
        <v>4</v>
      </c>
      <c r="B1586" s="12" t="s">
        <v>3</v>
      </c>
      <c r="C1586" s="11">
        <v>5687</v>
      </c>
      <c r="D1586" s="89">
        <v>90545815</v>
      </c>
      <c r="E1586" s="89">
        <v>56610252</v>
      </c>
      <c r="F1586" s="90">
        <v>15512383</v>
      </c>
      <c r="G1586" s="90">
        <v>11713106</v>
      </c>
      <c r="H1586" s="91">
        <v>6710073</v>
      </c>
    </row>
    <row r="1587" spans="1:8" ht="21.75" customHeight="1" thickBot="1" x14ac:dyDescent="0.2">
      <c r="A1587" s="253"/>
      <c r="B1587" s="7" t="s">
        <v>1153</v>
      </c>
      <c r="C1587" s="6">
        <v>7672</v>
      </c>
      <c r="D1587" s="92" t="s">
        <v>2178</v>
      </c>
      <c r="E1587" s="92" t="s">
        <v>2178</v>
      </c>
      <c r="F1587" s="92" t="s">
        <v>2178</v>
      </c>
      <c r="G1587" s="92" t="s">
        <v>2178</v>
      </c>
      <c r="H1587" s="93" t="s">
        <v>2178</v>
      </c>
    </row>
    <row r="1588" spans="1:8" ht="18" customHeight="1" x14ac:dyDescent="0.15">
      <c r="A1588" s="3" t="s">
        <v>1155</v>
      </c>
      <c r="B1588" s="2"/>
      <c r="C1588" s="2"/>
      <c r="D1588" s="2"/>
      <c r="E1588" s="2"/>
      <c r="F1588" s="2"/>
      <c r="G1588" s="2"/>
      <c r="H1588" s="2"/>
    </row>
    <row r="1589" spans="1:8" ht="18" customHeight="1" x14ac:dyDescent="0.15">
      <c r="A1589" s="3" t="s">
        <v>2587</v>
      </c>
      <c r="B1589" s="2"/>
      <c r="C1589" s="2"/>
      <c r="D1589" s="2"/>
      <c r="E1589" s="2"/>
      <c r="F1589" s="2"/>
      <c r="G1589" s="2"/>
      <c r="H1589" s="2"/>
    </row>
    <row r="1590" spans="1:8" ht="18" customHeight="1" x14ac:dyDescent="0.15">
      <c r="A1590" s="3" t="s">
        <v>1156</v>
      </c>
      <c r="B1590" s="2"/>
      <c r="C1590" s="2"/>
      <c r="D1590" s="2"/>
      <c r="E1590" s="2"/>
      <c r="F1590" s="2"/>
      <c r="G1590" s="2"/>
      <c r="H1590" s="2"/>
    </row>
    <row r="1591" spans="1:8" ht="18" customHeight="1" x14ac:dyDescent="0.15">
      <c r="A1591" s="3" t="s">
        <v>2479</v>
      </c>
      <c r="B1591" s="2"/>
      <c r="C1591" s="2"/>
      <c r="D1591" s="2"/>
      <c r="E1591" s="2"/>
      <c r="F1591" s="2"/>
      <c r="G1591" s="2"/>
      <c r="H1591" s="2"/>
    </row>
    <row r="1592" spans="1:8" ht="24" x14ac:dyDescent="0.15">
      <c r="A1592" s="230" t="s">
        <v>2476</v>
      </c>
      <c r="B1592" s="230"/>
      <c r="C1592" s="230"/>
      <c r="D1592" s="230"/>
      <c r="E1592" s="230"/>
      <c r="F1592" s="230"/>
      <c r="G1592" s="230"/>
      <c r="H1592" s="230"/>
    </row>
    <row r="1593" spans="1:8" ht="18" customHeight="1" x14ac:dyDescent="0.15">
      <c r="A1593" s="231"/>
      <c r="B1593" s="231"/>
      <c r="C1593" s="231"/>
      <c r="D1593" s="231"/>
      <c r="E1593" s="231"/>
      <c r="F1593" s="231"/>
      <c r="G1593" s="231"/>
      <c r="H1593" s="231"/>
    </row>
    <row r="1594" spans="1:8" thickBot="1" x14ac:dyDescent="0.2">
      <c r="A1594" s="58" t="s">
        <v>48</v>
      </c>
    </row>
    <row r="1595" spans="1:8" ht="18" customHeight="1" x14ac:dyDescent="0.15">
      <c r="A1595" s="232" t="s">
        <v>47</v>
      </c>
      <c r="B1595" s="235" t="s">
        <v>46</v>
      </c>
      <c r="C1595" s="238" t="s">
        <v>45</v>
      </c>
      <c r="D1595" s="241" t="s">
        <v>44</v>
      </c>
      <c r="E1595" s="100"/>
      <c r="F1595" s="56"/>
      <c r="G1595" s="56"/>
      <c r="H1595" s="55"/>
    </row>
    <row r="1596" spans="1:8" ht="18" customHeight="1" x14ac:dyDescent="0.15">
      <c r="A1596" s="233"/>
      <c r="B1596" s="236"/>
      <c r="C1596" s="239"/>
      <c r="D1596" s="242"/>
      <c r="E1596" s="244" t="s">
        <v>43</v>
      </c>
      <c r="F1596" s="246" t="s">
        <v>42</v>
      </c>
      <c r="G1596" s="246" t="s">
        <v>41</v>
      </c>
      <c r="H1596" s="248" t="s">
        <v>40</v>
      </c>
    </row>
    <row r="1597" spans="1:8" ht="18" customHeight="1" thickBot="1" x14ac:dyDescent="0.2">
      <c r="A1597" s="234"/>
      <c r="B1597" s="237"/>
      <c r="C1597" s="240"/>
      <c r="D1597" s="243"/>
      <c r="E1597" s="245"/>
      <c r="F1597" s="247"/>
      <c r="G1597" s="247"/>
      <c r="H1597" s="249"/>
    </row>
    <row r="1598" spans="1:8" s="60" customFormat="1" ht="18" customHeight="1" thickTop="1" x14ac:dyDescent="0.15">
      <c r="A1598" s="101"/>
      <c r="B1598" s="102"/>
      <c r="C1598" s="52"/>
      <c r="D1598" s="51" t="s">
        <v>39</v>
      </c>
      <c r="E1598" s="50" t="s">
        <v>39</v>
      </c>
      <c r="F1598" s="49" t="s">
        <v>39</v>
      </c>
      <c r="G1598" s="49" t="s">
        <v>39</v>
      </c>
      <c r="H1598" s="48" t="s">
        <v>39</v>
      </c>
    </row>
    <row r="1599" spans="1:8" ht="21.75" customHeight="1" x14ac:dyDescent="0.15">
      <c r="A1599" s="250" t="s">
        <v>38</v>
      </c>
      <c r="B1599" s="61" t="s">
        <v>37</v>
      </c>
      <c r="C1599" s="62">
        <v>3863</v>
      </c>
      <c r="D1599" s="63">
        <f>QUOTIENT(724590205960462,1000000)</f>
        <v>724590205</v>
      </c>
      <c r="E1599" s="63">
        <f>QUOTIENT(265961717678600,1000000)</f>
        <v>265961717</v>
      </c>
      <c r="F1599" s="64">
        <f>QUOTIENT(225998022210261,1000000)</f>
        <v>225998022</v>
      </c>
      <c r="G1599" s="64">
        <f>QUOTIENT(223240714188865,1000000)</f>
        <v>223240714</v>
      </c>
      <c r="H1599" s="65">
        <f>QUOTIENT(9389751882736,1000000)</f>
        <v>9389751</v>
      </c>
    </row>
    <row r="1600" spans="1:8" ht="21.75" customHeight="1" x14ac:dyDescent="0.15">
      <c r="A1600" s="250"/>
      <c r="B1600" s="66" t="s">
        <v>36</v>
      </c>
      <c r="C1600" s="67">
        <v>23</v>
      </c>
      <c r="D1600" s="68">
        <f>QUOTIENT(175503585000,1000000)</f>
        <v>175503</v>
      </c>
      <c r="E1600" s="68">
        <f>QUOTIENT(56738801000,1000000)</f>
        <v>56738</v>
      </c>
      <c r="F1600" s="69">
        <f>QUOTIENT(108889155500,1000000)</f>
        <v>108889</v>
      </c>
      <c r="G1600" s="69">
        <f>QUOTIENT(9871528500,1000000)</f>
        <v>9871</v>
      </c>
      <c r="H1600" s="70">
        <f>QUOTIENT(4100000,1000000)</f>
        <v>4</v>
      </c>
    </row>
    <row r="1601" spans="1:8" ht="21.75" customHeight="1" x14ac:dyDescent="0.15">
      <c r="A1601" s="250"/>
      <c r="B1601" s="66" t="s">
        <v>35</v>
      </c>
      <c r="C1601" s="67">
        <v>114</v>
      </c>
      <c r="D1601" s="68">
        <f>QUOTIENT(0,1000000)</f>
        <v>0</v>
      </c>
      <c r="E1601" s="68">
        <f>QUOTIENT(0,1000000)</f>
        <v>0</v>
      </c>
      <c r="F1601" s="69">
        <f>QUOTIENT(0,1000000)</f>
        <v>0</v>
      </c>
      <c r="G1601" s="69">
        <f>QUOTIENT(0,1000000)</f>
        <v>0</v>
      </c>
      <c r="H1601" s="70">
        <f>QUOTIENT(0,1000000)</f>
        <v>0</v>
      </c>
    </row>
    <row r="1602" spans="1:8" ht="21.75" customHeight="1" x14ac:dyDescent="0.15">
      <c r="A1602" s="250"/>
      <c r="B1602" s="71" t="s">
        <v>34</v>
      </c>
      <c r="C1602" s="72">
        <v>1</v>
      </c>
      <c r="D1602" s="73">
        <f>QUOTIENT(169902457800,1000000)</f>
        <v>169902</v>
      </c>
      <c r="E1602" s="73">
        <f>QUOTIENT(125806438800,1000000)</f>
        <v>125806</v>
      </c>
      <c r="F1602" s="74">
        <f>QUOTIENT(8357396300,1000000)</f>
        <v>8357</v>
      </c>
      <c r="G1602" s="74">
        <f>QUOTIENT(31470561800,1000000)</f>
        <v>31470</v>
      </c>
      <c r="H1602" s="75">
        <f>QUOTIENT(4268060900,1000000)</f>
        <v>4268</v>
      </c>
    </row>
    <row r="1603" spans="1:8" ht="21.75" customHeight="1" x14ac:dyDescent="0.15">
      <c r="A1603" s="250"/>
      <c r="B1603" s="66" t="s">
        <v>33</v>
      </c>
      <c r="C1603" s="67">
        <v>69</v>
      </c>
      <c r="D1603" s="68">
        <f>QUOTIENT(15519842617720,1000000)</f>
        <v>15519842</v>
      </c>
      <c r="E1603" s="68">
        <f>QUOTIENT(3996909567530,1000000)</f>
        <v>3996909</v>
      </c>
      <c r="F1603" s="69">
        <f>QUOTIENT(4172821389460,1000000)</f>
        <v>4172821</v>
      </c>
      <c r="G1603" s="69">
        <f>QUOTIENT(7165585665110,1000000)</f>
        <v>7165585</v>
      </c>
      <c r="H1603" s="70">
        <f>QUOTIENT(184525995620,1000000)</f>
        <v>184525</v>
      </c>
    </row>
    <row r="1604" spans="1:8" ht="21.75" customHeight="1" x14ac:dyDescent="0.15">
      <c r="A1604" s="250"/>
      <c r="B1604" s="76" t="s">
        <v>32</v>
      </c>
      <c r="C1604" s="67">
        <v>197</v>
      </c>
      <c r="D1604" s="68">
        <f>QUOTIENT(57851905639203,1000000)</f>
        <v>57851905</v>
      </c>
      <c r="E1604" s="68">
        <f>QUOTIENT(4146383256219,1000000)</f>
        <v>4146383</v>
      </c>
      <c r="F1604" s="69">
        <f>QUOTIENT(1389773589928,1000000)</f>
        <v>1389773</v>
      </c>
      <c r="G1604" s="69">
        <f>QUOTIENT(52126289998906,1000000)</f>
        <v>52126289</v>
      </c>
      <c r="H1604" s="70">
        <f>QUOTIENT(189458794150,1000000)</f>
        <v>189458</v>
      </c>
    </row>
    <row r="1605" spans="1:8" ht="21.75" customHeight="1" x14ac:dyDescent="0.15">
      <c r="A1605" s="251"/>
      <c r="B1605" s="77" t="s">
        <v>31</v>
      </c>
      <c r="C1605" s="72">
        <v>44</v>
      </c>
      <c r="D1605" s="73">
        <f>QUOTIENT(449242437149,1000000)</f>
        <v>449242</v>
      </c>
      <c r="E1605" s="73">
        <f>QUOTIENT(364871938594,1000000)</f>
        <v>364871</v>
      </c>
      <c r="F1605" s="74">
        <f>QUOTIENT(7526527648,1000000)</f>
        <v>7526</v>
      </c>
      <c r="G1605" s="74">
        <f>QUOTIENT(61239681430,1000000)</f>
        <v>61239</v>
      </c>
      <c r="H1605" s="75">
        <f>QUOTIENT(15604289477,1000000)</f>
        <v>15604</v>
      </c>
    </row>
    <row r="1606" spans="1:8" ht="21.75" customHeight="1" x14ac:dyDescent="0.15">
      <c r="A1606" s="30" t="s">
        <v>30</v>
      </c>
      <c r="B1606" s="78" t="s">
        <v>29</v>
      </c>
      <c r="C1606" s="79">
        <v>28</v>
      </c>
      <c r="D1606" s="80">
        <f>QUOTIENT(102849877860,1000000)</f>
        <v>102849</v>
      </c>
      <c r="E1606" s="80">
        <f>QUOTIENT(90530064936,1000000)</f>
        <v>90530</v>
      </c>
      <c r="F1606" s="81">
        <f>QUOTIENT(641170584,1000000)</f>
        <v>641</v>
      </c>
      <c r="G1606" s="81">
        <f>QUOTIENT(337697100,1000000)</f>
        <v>337</v>
      </c>
      <c r="H1606" s="82">
        <f>QUOTIENT(11340945240,1000000)</f>
        <v>11340</v>
      </c>
    </row>
    <row r="1607" spans="1:8" ht="21.75" customHeight="1" x14ac:dyDescent="0.15">
      <c r="A1607" s="252" t="s">
        <v>28</v>
      </c>
      <c r="B1607" s="17" t="s">
        <v>27</v>
      </c>
      <c r="C1607" s="16">
        <v>3270</v>
      </c>
      <c r="D1607" s="83">
        <f>QUOTIENT(62926351570000,1000000)</f>
        <v>62926351</v>
      </c>
      <c r="E1607" s="83">
        <f>QUOTIENT(9609125490000,1000000)</f>
        <v>9609125</v>
      </c>
      <c r="F1607" s="84">
        <f>QUOTIENT(27293395580000,1000000)</f>
        <v>27293395</v>
      </c>
      <c r="G1607" s="84">
        <f>QUOTIENT(25882706770000,1000000)</f>
        <v>25882706</v>
      </c>
      <c r="H1607" s="85">
        <f>QUOTIENT(141123730000,1000000)</f>
        <v>141123</v>
      </c>
    </row>
    <row r="1608" spans="1:8" ht="21.75" customHeight="1" x14ac:dyDescent="0.15">
      <c r="A1608" s="250"/>
      <c r="B1608" s="23" t="s">
        <v>26</v>
      </c>
      <c r="C1608" s="22">
        <v>3497</v>
      </c>
      <c r="D1608" s="86">
        <f>QUOTIENT(15041279856000,1000000)</f>
        <v>15041279</v>
      </c>
      <c r="E1608" s="86">
        <f>QUOTIENT(599642730000,1000000)</f>
        <v>599642</v>
      </c>
      <c r="F1608" s="87">
        <f>QUOTIENT(9729998060000,1000000)</f>
        <v>9729998</v>
      </c>
      <c r="G1608" s="87">
        <f>QUOTIENT(4700792066000,1000000)</f>
        <v>4700792</v>
      </c>
      <c r="H1608" s="88">
        <f>QUOTIENT(10847000000,1000000)</f>
        <v>10847</v>
      </c>
    </row>
    <row r="1609" spans="1:8" ht="21.75" customHeight="1" x14ac:dyDescent="0.15">
      <c r="A1609" s="250"/>
      <c r="B1609" s="24" t="s">
        <v>25</v>
      </c>
      <c r="C1609" s="22">
        <v>610</v>
      </c>
      <c r="D1609" s="86">
        <f>QUOTIENT(25855160000000,1000000)</f>
        <v>25855160</v>
      </c>
      <c r="E1609" s="86">
        <f>QUOTIENT(1913959300000,1000000)</f>
        <v>1913959</v>
      </c>
      <c r="F1609" s="87">
        <f>QUOTIENT(12170008900000,1000000)</f>
        <v>12170008</v>
      </c>
      <c r="G1609" s="87">
        <f>QUOTIENT(11676397800000,1000000)</f>
        <v>11676397</v>
      </c>
      <c r="H1609" s="88">
        <f>QUOTIENT(94794000000,1000000)</f>
        <v>94794</v>
      </c>
    </row>
    <row r="1610" spans="1:8" ht="21.75" customHeight="1" x14ac:dyDescent="0.15">
      <c r="A1610" s="250"/>
      <c r="B1610" s="23" t="s">
        <v>24</v>
      </c>
      <c r="C1610" s="22">
        <v>2026</v>
      </c>
      <c r="D1610" s="86">
        <f>QUOTIENT(58012000000000,1000000)</f>
        <v>58012000</v>
      </c>
      <c r="E1610" s="86">
        <f>QUOTIENT(6727572700000,1000000)</f>
        <v>6727572</v>
      </c>
      <c r="F1610" s="87">
        <f>QUOTIENT(19169552000000,1000000)</f>
        <v>19169552</v>
      </c>
      <c r="G1610" s="87">
        <f>QUOTIENT(32112525300000,1000000)</f>
        <v>32112525</v>
      </c>
      <c r="H1610" s="88">
        <f>QUOTIENT(2350000000,1000000)</f>
        <v>2350</v>
      </c>
    </row>
    <row r="1611" spans="1:8" ht="21.75" customHeight="1" x14ac:dyDescent="0.15">
      <c r="A1611" s="250"/>
      <c r="B1611" s="23" t="s">
        <v>23</v>
      </c>
      <c r="C1611" s="22">
        <v>444</v>
      </c>
      <c r="D1611" s="86">
        <f>QUOTIENT(4850426000000,1000000)</f>
        <v>4850426</v>
      </c>
      <c r="E1611" s="86">
        <f>QUOTIENT(359404000000,1000000)</f>
        <v>359404</v>
      </c>
      <c r="F1611" s="87">
        <f>QUOTIENT(91639100000,1000000)</f>
        <v>91639</v>
      </c>
      <c r="G1611" s="87">
        <f>QUOTIENT(4399382900000,1000000)</f>
        <v>4399382</v>
      </c>
      <c r="H1611" s="88">
        <f>QUOTIENT(0,1000000)</f>
        <v>0</v>
      </c>
    </row>
    <row r="1612" spans="1:8" ht="21.75" customHeight="1" x14ac:dyDescent="0.15">
      <c r="A1612" s="250"/>
      <c r="B1612" s="23" t="s">
        <v>22</v>
      </c>
      <c r="C1612" s="22">
        <v>152</v>
      </c>
      <c r="D1612" s="86">
        <f>QUOTIENT(1268300000000,1000000)</f>
        <v>1268300</v>
      </c>
      <c r="E1612" s="86">
        <f>QUOTIENT(304370000000,1000000)</f>
        <v>304370</v>
      </c>
      <c r="F1612" s="87">
        <f>QUOTIENT(440800000000,1000000)</f>
        <v>440800</v>
      </c>
      <c r="G1612" s="87">
        <f>QUOTIENT(523130000000,1000000)</f>
        <v>523130</v>
      </c>
      <c r="H1612" s="88">
        <f>QUOTIENT(0,1000000)</f>
        <v>0</v>
      </c>
    </row>
    <row r="1613" spans="1:8" ht="21.75" customHeight="1" x14ac:dyDescent="0.15">
      <c r="A1613" s="250"/>
      <c r="B1613" s="23" t="s">
        <v>21</v>
      </c>
      <c r="C1613" s="22">
        <v>24</v>
      </c>
      <c r="D1613" s="86">
        <f>QUOTIENT(165302000000,1000000)</f>
        <v>165302</v>
      </c>
      <c r="E1613" s="86">
        <f>QUOTIENT(114313000000,1000000)</f>
        <v>114313</v>
      </c>
      <c r="F1613" s="87">
        <f>QUOTIENT(29923000000,1000000)</f>
        <v>29923</v>
      </c>
      <c r="G1613" s="87">
        <f>QUOTIENT(21066000000,1000000)</f>
        <v>21066</v>
      </c>
      <c r="H1613" s="88">
        <f>QUOTIENT(0,1000000)</f>
        <v>0</v>
      </c>
    </row>
    <row r="1614" spans="1:8" ht="21.75" customHeight="1" x14ac:dyDescent="0.15">
      <c r="A1614" s="250"/>
      <c r="B1614" s="23" t="s">
        <v>20</v>
      </c>
      <c r="C1614" s="22">
        <v>0</v>
      </c>
      <c r="D1614" s="86">
        <f>QUOTIENT(0,1000000)</f>
        <v>0</v>
      </c>
      <c r="E1614" s="86">
        <f>QUOTIENT(0,1000000)</f>
        <v>0</v>
      </c>
      <c r="F1614" s="87">
        <f>QUOTIENT(0,1000000)</f>
        <v>0</v>
      </c>
      <c r="G1614" s="87">
        <f>QUOTIENT(0,1000000)</f>
        <v>0</v>
      </c>
      <c r="H1614" s="88">
        <f>QUOTIENT(0,1000000)</f>
        <v>0</v>
      </c>
    </row>
    <row r="1615" spans="1:8" ht="21.75" customHeight="1" x14ac:dyDescent="0.15">
      <c r="A1615" s="250"/>
      <c r="B1615" s="23" t="s">
        <v>19</v>
      </c>
      <c r="C1615" s="22">
        <v>223</v>
      </c>
      <c r="D1615" s="86">
        <f>QUOTIENT(5973170000000,1000000)</f>
        <v>5973170</v>
      </c>
      <c r="E1615" s="86">
        <f>QUOTIENT(553350000000,1000000)</f>
        <v>553350</v>
      </c>
      <c r="F1615" s="87">
        <f>QUOTIENT(2934200000000,1000000)</f>
        <v>2934200</v>
      </c>
      <c r="G1615" s="87">
        <f>QUOTIENT(2427700000000,1000000)</f>
        <v>2427700</v>
      </c>
      <c r="H1615" s="88">
        <f>QUOTIENT(57920000000,1000000)</f>
        <v>57920</v>
      </c>
    </row>
    <row r="1616" spans="1:8" ht="21.75" customHeight="1" x14ac:dyDescent="0.15">
      <c r="A1616" s="250"/>
      <c r="B1616" s="23" t="s">
        <v>18</v>
      </c>
      <c r="C1616" s="22">
        <v>3764</v>
      </c>
      <c r="D1616" s="86">
        <f>QUOTIENT(76110527500000,1000000)</f>
        <v>76110527</v>
      </c>
      <c r="E1616" s="86">
        <f>QUOTIENT(17879639000000,1000000)</f>
        <v>17879639</v>
      </c>
      <c r="F1616" s="87">
        <f>QUOTIENT(29150560300000,1000000)</f>
        <v>29150560</v>
      </c>
      <c r="G1616" s="87">
        <f>QUOTIENT(28548007900000,1000000)</f>
        <v>28548007</v>
      </c>
      <c r="H1616" s="88">
        <f>QUOTIENT(532320300000,1000000)</f>
        <v>532320</v>
      </c>
    </row>
    <row r="1617" spans="1:8" ht="21.75" customHeight="1" x14ac:dyDescent="0.15">
      <c r="A1617" s="250"/>
      <c r="B1617" s="23" t="s">
        <v>17</v>
      </c>
      <c r="C1617" s="22">
        <v>646</v>
      </c>
      <c r="D1617" s="86">
        <f>QUOTIENT(14894060000000,1000000)</f>
        <v>14894060</v>
      </c>
      <c r="E1617" s="86">
        <f>QUOTIENT(3301625400000,1000000)</f>
        <v>3301625</v>
      </c>
      <c r="F1617" s="87">
        <f>QUOTIENT(6040504500000,1000000)</f>
        <v>6040504</v>
      </c>
      <c r="G1617" s="87">
        <f>QUOTIENT(5511018800000,1000000)</f>
        <v>5511018</v>
      </c>
      <c r="H1617" s="88">
        <f>QUOTIENT(40911300000,1000000)</f>
        <v>40911</v>
      </c>
    </row>
    <row r="1618" spans="1:8" ht="21.75" customHeight="1" x14ac:dyDescent="0.15">
      <c r="A1618" s="250"/>
      <c r="B1618" s="23" t="s">
        <v>16</v>
      </c>
      <c r="C1618" s="22">
        <v>62549</v>
      </c>
      <c r="D1618" s="86">
        <f>QUOTIENT(16365535987000,1000000)</f>
        <v>16365535</v>
      </c>
      <c r="E1618" s="86">
        <f>QUOTIENT(4619151033000,1000000)</f>
        <v>4619151</v>
      </c>
      <c r="F1618" s="87">
        <f>QUOTIENT(5281978134000,1000000)</f>
        <v>5281978</v>
      </c>
      <c r="G1618" s="87">
        <f>QUOTIENT(6459306820000,1000000)</f>
        <v>6459306</v>
      </c>
      <c r="H1618" s="88">
        <f>QUOTIENT(5100000000,1000000)</f>
        <v>5100</v>
      </c>
    </row>
    <row r="1619" spans="1:8" ht="21.75" customHeight="1" x14ac:dyDescent="0.15">
      <c r="A1619" s="250"/>
      <c r="B1619" s="23" t="s">
        <v>15</v>
      </c>
      <c r="C1619" s="22">
        <v>638</v>
      </c>
      <c r="D1619" s="86">
        <f>QUOTIENT(4323965565000,1000000)</f>
        <v>4323965</v>
      </c>
      <c r="E1619" s="86">
        <f>QUOTIENT(3692095433000,1000000)</f>
        <v>3692095</v>
      </c>
      <c r="F1619" s="87">
        <f>QUOTIENT(509143302000,1000000)</f>
        <v>509143</v>
      </c>
      <c r="G1619" s="87">
        <f>QUOTIENT(122726830000,1000000)</f>
        <v>122726</v>
      </c>
      <c r="H1619" s="88">
        <f>QUOTIENT(0,1000000)</f>
        <v>0</v>
      </c>
    </row>
    <row r="1620" spans="1:8" ht="21.75" customHeight="1" x14ac:dyDescent="0.15">
      <c r="A1620" s="250"/>
      <c r="B1620" s="23" t="s">
        <v>14</v>
      </c>
      <c r="C1620" s="22">
        <v>40</v>
      </c>
      <c r="D1620" s="86">
        <f>QUOTIENT(215700000000,1000000)</f>
        <v>215700</v>
      </c>
      <c r="E1620" s="86">
        <f>QUOTIENT(101808000000,1000000)</f>
        <v>101808</v>
      </c>
      <c r="F1620" s="87">
        <f>QUOTIENT(48200000000,1000000)</f>
        <v>48200</v>
      </c>
      <c r="G1620" s="87">
        <f>QUOTIENT(65690000000,1000000)</f>
        <v>65690</v>
      </c>
      <c r="H1620" s="88">
        <f>QUOTIENT(2000000,1000000)</f>
        <v>2</v>
      </c>
    </row>
    <row r="1621" spans="1:8" ht="21.75" customHeight="1" x14ac:dyDescent="0.15">
      <c r="A1621" s="250"/>
      <c r="B1621" s="23" t="s">
        <v>13</v>
      </c>
      <c r="C1621" s="22">
        <v>595</v>
      </c>
      <c r="D1621" s="86">
        <f>QUOTIENT(2731831178000,1000000)</f>
        <v>2731831</v>
      </c>
      <c r="E1621" s="86">
        <f>QUOTIENT(217213193000,1000000)</f>
        <v>217213</v>
      </c>
      <c r="F1621" s="87">
        <f>QUOTIENT(1458389185000,1000000)</f>
        <v>1458389</v>
      </c>
      <c r="G1621" s="87">
        <f>QUOTIENT(1056228800000,1000000)</f>
        <v>1056228</v>
      </c>
      <c r="H1621" s="88">
        <f>QUOTIENT(0,1000000)</f>
        <v>0</v>
      </c>
    </row>
    <row r="1622" spans="1:8" ht="21.75" customHeight="1" x14ac:dyDescent="0.15">
      <c r="A1622" s="250"/>
      <c r="B1622" s="23" t="s">
        <v>12</v>
      </c>
      <c r="C1622" s="22">
        <v>264</v>
      </c>
      <c r="D1622" s="86">
        <f>QUOTIENT(7158800000000,1000000)</f>
        <v>7158800</v>
      </c>
      <c r="E1622" s="86">
        <f>QUOTIENT(927400000000,1000000)</f>
        <v>927400</v>
      </c>
      <c r="F1622" s="87">
        <f>QUOTIENT(2369330000000,1000000)</f>
        <v>2369330</v>
      </c>
      <c r="G1622" s="87">
        <f>QUOTIENT(3823670000000,1000000)</f>
        <v>3823670</v>
      </c>
      <c r="H1622" s="88">
        <f>QUOTIENT(38400000000,1000000)</f>
        <v>38400</v>
      </c>
    </row>
    <row r="1623" spans="1:8" ht="21.75" customHeight="1" x14ac:dyDescent="0.15">
      <c r="A1623" s="250"/>
      <c r="B1623" s="23" t="s">
        <v>11</v>
      </c>
      <c r="C1623" s="22">
        <v>60</v>
      </c>
      <c r="D1623" s="86">
        <f>QUOTIENT(1605850000000,1000000)</f>
        <v>1605850</v>
      </c>
      <c r="E1623" s="86">
        <f>QUOTIENT(134100000000,1000000)</f>
        <v>134100</v>
      </c>
      <c r="F1623" s="87">
        <f>QUOTIENT(698050000000,1000000)</f>
        <v>698050</v>
      </c>
      <c r="G1623" s="87">
        <f>QUOTIENT(773700000000,1000000)</f>
        <v>773700</v>
      </c>
      <c r="H1623" s="88">
        <f>QUOTIENT(0,1000000)</f>
        <v>0</v>
      </c>
    </row>
    <row r="1624" spans="1:8" ht="21.75" customHeight="1" x14ac:dyDescent="0.15">
      <c r="A1624" s="250"/>
      <c r="B1624" s="23" t="s">
        <v>10</v>
      </c>
      <c r="C1624" s="22">
        <v>0</v>
      </c>
      <c r="D1624" s="86">
        <f t="shared" ref="D1624:G1626" si="41">QUOTIENT(0,1000000)</f>
        <v>0</v>
      </c>
      <c r="E1624" s="86">
        <f t="shared" si="41"/>
        <v>0</v>
      </c>
      <c r="F1624" s="87">
        <f t="shared" si="41"/>
        <v>0</v>
      </c>
      <c r="G1624" s="87">
        <f t="shared" si="41"/>
        <v>0</v>
      </c>
      <c r="H1624" s="88">
        <f>QUOTIENT(0,1000000)</f>
        <v>0</v>
      </c>
    </row>
    <row r="1625" spans="1:8" ht="21.75" customHeight="1" x14ac:dyDescent="0.15">
      <c r="A1625" s="250"/>
      <c r="B1625" s="23" t="s">
        <v>9</v>
      </c>
      <c r="C1625" s="22">
        <v>0</v>
      </c>
      <c r="D1625" s="86">
        <f t="shared" si="41"/>
        <v>0</v>
      </c>
      <c r="E1625" s="86">
        <f t="shared" si="41"/>
        <v>0</v>
      </c>
      <c r="F1625" s="87">
        <f t="shared" si="41"/>
        <v>0</v>
      </c>
      <c r="G1625" s="87">
        <f t="shared" si="41"/>
        <v>0</v>
      </c>
      <c r="H1625" s="88">
        <f>QUOTIENT(0,1000000)</f>
        <v>0</v>
      </c>
    </row>
    <row r="1626" spans="1:8" ht="21.75" customHeight="1" x14ac:dyDescent="0.15">
      <c r="A1626" s="250"/>
      <c r="B1626" s="23" t="s">
        <v>8</v>
      </c>
      <c r="C1626" s="22">
        <v>0</v>
      </c>
      <c r="D1626" s="86">
        <f t="shared" si="41"/>
        <v>0</v>
      </c>
      <c r="E1626" s="86">
        <f t="shared" si="41"/>
        <v>0</v>
      </c>
      <c r="F1626" s="87">
        <f t="shared" si="41"/>
        <v>0</v>
      </c>
      <c r="G1626" s="87">
        <f t="shared" si="41"/>
        <v>0</v>
      </c>
      <c r="H1626" s="88">
        <f>QUOTIENT(0,1000000)</f>
        <v>0</v>
      </c>
    </row>
    <row r="1627" spans="1:8" ht="21.75" customHeight="1" x14ac:dyDescent="0.15">
      <c r="A1627" s="251"/>
      <c r="B1627" s="23" t="s">
        <v>7</v>
      </c>
      <c r="C1627" s="22">
        <v>31</v>
      </c>
      <c r="D1627" s="86">
        <f>QUOTIENT(17281900000,1000000)</f>
        <v>17281</v>
      </c>
      <c r="E1627" s="86">
        <f>QUOTIENT(466900000,1000000)</f>
        <v>466</v>
      </c>
      <c r="F1627" s="87">
        <f>QUOTIENT(14000000000,1000000)</f>
        <v>14000</v>
      </c>
      <c r="G1627" s="87">
        <f>QUOTIENT(2815000000,1000000)</f>
        <v>2815</v>
      </c>
      <c r="H1627" s="88">
        <f>QUOTIENT(0,1000000)</f>
        <v>0</v>
      </c>
    </row>
    <row r="1628" spans="1:8" ht="21.75" customHeight="1" x14ac:dyDescent="0.15">
      <c r="A1628" s="18" t="s">
        <v>6</v>
      </c>
      <c r="B1628" s="17" t="s">
        <v>5</v>
      </c>
      <c r="C1628" s="16">
        <v>3441</v>
      </c>
      <c r="D1628" s="80">
        <v>24719037</v>
      </c>
      <c r="E1628" s="80">
        <v>1041700</v>
      </c>
      <c r="F1628" s="81">
        <v>13730559</v>
      </c>
      <c r="G1628" s="81">
        <v>8326978</v>
      </c>
      <c r="H1628" s="82">
        <v>1619800</v>
      </c>
    </row>
    <row r="1629" spans="1:8" ht="21.75" customHeight="1" x14ac:dyDescent="0.15">
      <c r="A1629" s="252" t="s">
        <v>4</v>
      </c>
      <c r="B1629" s="12" t="s">
        <v>3</v>
      </c>
      <c r="C1629" s="11">
        <v>5696</v>
      </c>
      <c r="D1629" s="89">
        <v>88333305</v>
      </c>
      <c r="E1629" s="89">
        <v>55542192</v>
      </c>
      <c r="F1629" s="90">
        <v>14980198</v>
      </c>
      <c r="G1629" s="90">
        <v>11325954</v>
      </c>
      <c r="H1629" s="91">
        <v>6484960</v>
      </c>
    </row>
    <row r="1630" spans="1:8" ht="21.75" customHeight="1" thickBot="1" x14ac:dyDescent="0.2">
      <c r="A1630" s="253"/>
      <c r="B1630" s="7" t="s">
        <v>1153</v>
      </c>
      <c r="C1630" s="6">
        <v>7637</v>
      </c>
      <c r="D1630" s="92" t="s">
        <v>2178</v>
      </c>
      <c r="E1630" s="92" t="s">
        <v>2178</v>
      </c>
      <c r="F1630" s="92" t="s">
        <v>2178</v>
      </c>
      <c r="G1630" s="92" t="s">
        <v>2178</v>
      </c>
      <c r="H1630" s="93" t="s">
        <v>2178</v>
      </c>
    </row>
    <row r="1631" spans="1:8" ht="18" customHeight="1" x14ac:dyDescent="0.15">
      <c r="A1631" s="3" t="s">
        <v>1155</v>
      </c>
      <c r="B1631" s="2"/>
      <c r="C1631" s="2"/>
      <c r="D1631" s="2"/>
      <c r="E1631" s="2"/>
      <c r="F1631" s="2"/>
      <c r="G1631" s="2"/>
      <c r="H1631" s="2"/>
    </row>
    <row r="1632" spans="1:8" ht="18" customHeight="1" x14ac:dyDescent="0.15">
      <c r="A1632" s="3" t="s">
        <v>2587</v>
      </c>
      <c r="B1632" s="2"/>
      <c r="C1632" s="2"/>
      <c r="D1632" s="2"/>
      <c r="E1632" s="2"/>
      <c r="F1632" s="2"/>
      <c r="G1632" s="2"/>
      <c r="H1632" s="2"/>
    </row>
    <row r="1633" spans="1:8" ht="18" customHeight="1" x14ac:dyDescent="0.15">
      <c r="A1633" s="3" t="s">
        <v>1156</v>
      </c>
      <c r="B1633" s="2"/>
      <c r="C1633" s="2"/>
      <c r="D1633" s="2"/>
      <c r="E1633" s="2"/>
      <c r="F1633" s="2"/>
      <c r="G1633" s="2"/>
      <c r="H1633" s="2"/>
    </row>
    <row r="1634" spans="1:8" ht="18" customHeight="1" x14ac:dyDescent="0.15">
      <c r="A1634" s="3" t="s">
        <v>2477</v>
      </c>
      <c r="B1634" s="2"/>
      <c r="C1634" s="2"/>
      <c r="D1634" s="2"/>
      <c r="E1634" s="2"/>
      <c r="F1634" s="2"/>
      <c r="G1634" s="2"/>
      <c r="H1634" s="2"/>
    </row>
    <row r="1635" spans="1:8" ht="24" x14ac:dyDescent="0.15">
      <c r="A1635" s="230" t="s">
        <v>2474</v>
      </c>
      <c r="B1635" s="230"/>
      <c r="C1635" s="230"/>
      <c r="D1635" s="230"/>
      <c r="E1635" s="230"/>
      <c r="F1635" s="230"/>
      <c r="G1635" s="230"/>
      <c r="H1635" s="230"/>
    </row>
    <row r="1636" spans="1:8" ht="18" customHeight="1" x14ac:dyDescent="0.15">
      <c r="A1636" s="231"/>
      <c r="B1636" s="231"/>
      <c r="C1636" s="231"/>
      <c r="D1636" s="231"/>
      <c r="E1636" s="231"/>
      <c r="F1636" s="231"/>
      <c r="G1636" s="231"/>
      <c r="H1636" s="231"/>
    </row>
    <row r="1637" spans="1:8" thickBot="1" x14ac:dyDescent="0.2">
      <c r="A1637" s="58" t="s">
        <v>48</v>
      </c>
    </row>
    <row r="1638" spans="1:8" ht="18" customHeight="1" x14ac:dyDescent="0.15">
      <c r="A1638" s="232" t="s">
        <v>47</v>
      </c>
      <c r="B1638" s="235" t="s">
        <v>46</v>
      </c>
      <c r="C1638" s="238" t="s">
        <v>45</v>
      </c>
      <c r="D1638" s="241" t="s">
        <v>44</v>
      </c>
      <c r="E1638" s="97"/>
      <c r="F1638" s="56"/>
      <c r="G1638" s="56"/>
      <c r="H1638" s="55"/>
    </row>
    <row r="1639" spans="1:8" ht="18" customHeight="1" x14ac:dyDescent="0.15">
      <c r="A1639" s="233"/>
      <c r="B1639" s="236"/>
      <c r="C1639" s="239"/>
      <c r="D1639" s="242"/>
      <c r="E1639" s="244" t="s">
        <v>43</v>
      </c>
      <c r="F1639" s="246" t="s">
        <v>42</v>
      </c>
      <c r="G1639" s="246" t="s">
        <v>41</v>
      </c>
      <c r="H1639" s="248" t="s">
        <v>40</v>
      </c>
    </row>
    <row r="1640" spans="1:8" ht="18" customHeight="1" thickBot="1" x14ac:dyDescent="0.2">
      <c r="A1640" s="234"/>
      <c r="B1640" s="237"/>
      <c r="C1640" s="240"/>
      <c r="D1640" s="243"/>
      <c r="E1640" s="245"/>
      <c r="F1640" s="247"/>
      <c r="G1640" s="247"/>
      <c r="H1640" s="249"/>
    </row>
    <row r="1641" spans="1:8" s="60" customFormat="1" ht="18" customHeight="1" thickTop="1" x14ac:dyDescent="0.15">
      <c r="A1641" s="98"/>
      <c r="B1641" s="99"/>
      <c r="C1641" s="52"/>
      <c r="D1641" s="51" t="s">
        <v>39</v>
      </c>
      <c r="E1641" s="50" t="s">
        <v>39</v>
      </c>
      <c r="F1641" s="49" t="s">
        <v>39</v>
      </c>
      <c r="G1641" s="49" t="s">
        <v>39</v>
      </c>
      <c r="H1641" s="48" t="s">
        <v>39</v>
      </c>
    </row>
    <row r="1642" spans="1:8" ht="21.75" customHeight="1" x14ac:dyDescent="0.15">
      <c r="A1642" s="250" t="s">
        <v>38</v>
      </c>
      <c r="B1642" s="61" t="s">
        <v>37</v>
      </c>
      <c r="C1642" s="62">
        <v>3858</v>
      </c>
      <c r="D1642" s="63">
        <f>QUOTIENT(704289838217008,1000000)</f>
        <v>704289838</v>
      </c>
      <c r="E1642" s="63">
        <f>QUOTIENT(258168506924402,1000000)</f>
        <v>258168506</v>
      </c>
      <c r="F1642" s="64">
        <f>QUOTIENT(221107768356185,1000000)</f>
        <v>221107768</v>
      </c>
      <c r="G1642" s="64">
        <f>QUOTIENT(215962880072217,1000000)</f>
        <v>215962880</v>
      </c>
      <c r="H1642" s="65">
        <f>QUOTIENT(9050682864203,1000000)</f>
        <v>9050682</v>
      </c>
    </row>
    <row r="1643" spans="1:8" ht="21.75" customHeight="1" x14ac:dyDescent="0.15">
      <c r="A1643" s="250"/>
      <c r="B1643" s="66" t="s">
        <v>36</v>
      </c>
      <c r="C1643" s="67">
        <v>24</v>
      </c>
      <c r="D1643" s="68">
        <f>QUOTIENT(167564007500,1000000)</f>
        <v>167564</v>
      </c>
      <c r="E1643" s="68">
        <f>QUOTIENT(56567734500,1000000)</f>
        <v>56567</v>
      </c>
      <c r="F1643" s="69">
        <f>QUOTIENT(100653622500,1000000)</f>
        <v>100653</v>
      </c>
      <c r="G1643" s="69">
        <f>QUOTIENT(10338625000,1000000)</f>
        <v>10338</v>
      </c>
      <c r="H1643" s="70">
        <f>QUOTIENT(4025500,1000000)</f>
        <v>4</v>
      </c>
    </row>
    <row r="1644" spans="1:8" ht="21.75" customHeight="1" x14ac:dyDescent="0.15">
      <c r="A1644" s="250"/>
      <c r="B1644" s="66" t="s">
        <v>35</v>
      </c>
      <c r="C1644" s="67">
        <v>110</v>
      </c>
      <c r="D1644" s="68">
        <f>QUOTIENT(0,1000000)</f>
        <v>0</v>
      </c>
      <c r="E1644" s="68">
        <f>QUOTIENT(0,1000000)</f>
        <v>0</v>
      </c>
      <c r="F1644" s="69">
        <f>QUOTIENT(0,1000000)</f>
        <v>0</v>
      </c>
      <c r="G1644" s="69">
        <f>QUOTIENT(0,1000000)</f>
        <v>0</v>
      </c>
      <c r="H1644" s="70">
        <f>QUOTIENT(0,1000000)</f>
        <v>0</v>
      </c>
    </row>
    <row r="1645" spans="1:8" ht="21.75" customHeight="1" x14ac:dyDescent="0.15">
      <c r="A1645" s="250"/>
      <c r="B1645" s="71" t="s">
        <v>34</v>
      </c>
      <c r="C1645" s="72">
        <v>1</v>
      </c>
      <c r="D1645" s="73">
        <f>QUOTIENT(169265058000,1000000)</f>
        <v>169265</v>
      </c>
      <c r="E1645" s="73">
        <f>QUOTIENT(125324669000,1000000)</f>
        <v>125324</v>
      </c>
      <c r="F1645" s="74">
        <f>QUOTIENT(8335125000,1000000)</f>
        <v>8335</v>
      </c>
      <c r="G1645" s="74">
        <f>QUOTIENT(31352498000,1000000)</f>
        <v>31352</v>
      </c>
      <c r="H1645" s="75">
        <f>QUOTIENT(4252766000,1000000)</f>
        <v>4252</v>
      </c>
    </row>
    <row r="1646" spans="1:8" ht="21.75" customHeight="1" x14ac:dyDescent="0.15">
      <c r="A1646" s="250"/>
      <c r="B1646" s="66" t="s">
        <v>33</v>
      </c>
      <c r="C1646" s="67">
        <v>69</v>
      </c>
      <c r="D1646" s="68">
        <f>QUOTIENT(15050413281590,1000000)</f>
        <v>15050413</v>
      </c>
      <c r="E1646" s="68">
        <f>QUOTIENT(3805925969460,1000000)</f>
        <v>3805925</v>
      </c>
      <c r="F1646" s="69">
        <f>QUOTIENT(4121467963600,1000000)</f>
        <v>4121467</v>
      </c>
      <c r="G1646" s="69">
        <f>QUOTIENT(6968338220730,1000000)</f>
        <v>6968338</v>
      </c>
      <c r="H1646" s="70">
        <f>QUOTIENT(154681127800,1000000)</f>
        <v>154681</v>
      </c>
    </row>
    <row r="1647" spans="1:8" ht="21.75" customHeight="1" x14ac:dyDescent="0.15">
      <c r="A1647" s="250"/>
      <c r="B1647" s="76" t="s">
        <v>32</v>
      </c>
      <c r="C1647" s="67">
        <v>194</v>
      </c>
      <c r="D1647" s="68">
        <f>QUOTIENT(55432459871334,1000000)</f>
        <v>55432459</v>
      </c>
      <c r="E1647" s="68">
        <f>QUOTIENT(3993141303753,1000000)</f>
        <v>3993141</v>
      </c>
      <c r="F1647" s="69">
        <f>QUOTIENT(1307561622725,1000000)</f>
        <v>1307561</v>
      </c>
      <c r="G1647" s="69">
        <f>QUOTIENT(49969984506695,1000000)</f>
        <v>49969984</v>
      </c>
      <c r="H1647" s="70">
        <f>QUOTIENT(161772438161,1000000)</f>
        <v>161772</v>
      </c>
    </row>
    <row r="1648" spans="1:8" ht="21.75" customHeight="1" x14ac:dyDescent="0.15">
      <c r="A1648" s="251"/>
      <c r="B1648" s="77" t="s">
        <v>31</v>
      </c>
      <c r="C1648" s="72">
        <v>44</v>
      </c>
      <c r="D1648" s="73">
        <f>QUOTIENT(425630351523,1000000)</f>
        <v>425630</v>
      </c>
      <c r="E1648" s="73">
        <f>QUOTIENT(343489429376,1000000)</f>
        <v>343489</v>
      </c>
      <c r="F1648" s="74">
        <f>QUOTIENT(5804959141,1000000)</f>
        <v>5804</v>
      </c>
      <c r="G1648" s="74">
        <f>QUOTIENT(61578117840,1000000)</f>
        <v>61578</v>
      </c>
      <c r="H1648" s="75">
        <f>QUOTIENT(14757845166,1000000)</f>
        <v>14757</v>
      </c>
    </row>
    <row r="1649" spans="1:8" ht="21.75" customHeight="1" x14ac:dyDescent="0.15">
      <c r="A1649" s="30" t="s">
        <v>30</v>
      </c>
      <c r="B1649" s="78" t="s">
        <v>29</v>
      </c>
      <c r="C1649" s="79">
        <v>28</v>
      </c>
      <c r="D1649" s="80">
        <f>QUOTIENT(99313142844,1000000)</f>
        <v>99313</v>
      </c>
      <c r="E1649" s="80">
        <f>QUOTIENT(87404507068,1000000)</f>
        <v>87404</v>
      </c>
      <c r="F1649" s="81">
        <f>QUOTIENT(566392225,1000000)</f>
        <v>566</v>
      </c>
      <c r="G1649" s="81">
        <f>QUOTIENT(348087780,1000000)</f>
        <v>348</v>
      </c>
      <c r="H1649" s="82">
        <f>QUOTIENT(10994155771,1000000)</f>
        <v>10994</v>
      </c>
    </row>
    <row r="1650" spans="1:8" ht="21.75" customHeight="1" x14ac:dyDescent="0.15">
      <c r="A1650" s="252" t="s">
        <v>28</v>
      </c>
      <c r="B1650" s="17" t="s">
        <v>27</v>
      </c>
      <c r="C1650" s="16">
        <v>3271</v>
      </c>
      <c r="D1650" s="83">
        <f>QUOTIENT(62899951570000,1000000)</f>
        <v>62899951</v>
      </c>
      <c r="E1650" s="83">
        <f>QUOTIENT(9619821600000,1000000)</f>
        <v>9619821</v>
      </c>
      <c r="F1650" s="84">
        <f>QUOTIENT(26996873910000,1000000)</f>
        <v>26996873</v>
      </c>
      <c r="G1650" s="84">
        <f>QUOTIENT(26142733330000,1000000)</f>
        <v>26142733</v>
      </c>
      <c r="H1650" s="85">
        <f>QUOTIENT(140522730000,1000000)</f>
        <v>140522</v>
      </c>
    </row>
    <row r="1651" spans="1:8" ht="21.75" customHeight="1" x14ac:dyDescent="0.15">
      <c r="A1651" s="250"/>
      <c r="B1651" s="23" t="s">
        <v>26</v>
      </c>
      <c r="C1651" s="22">
        <v>3492</v>
      </c>
      <c r="D1651" s="86">
        <f>QUOTIENT(15046004356000,1000000)</f>
        <v>15046004</v>
      </c>
      <c r="E1651" s="86">
        <f>QUOTIENT(615340930000,1000000)</f>
        <v>615340</v>
      </c>
      <c r="F1651" s="87">
        <f>QUOTIENT(9671372560000,1000000)</f>
        <v>9671372</v>
      </c>
      <c r="G1651" s="87">
        <f>QUOTIENT(4748443866000,1000000)</f>
        <v>4748443</v>
      </c>
      <c r="H1651" s="88">
        <f>QUOTIENT(10847000000,1000000)</f>
        <v>10847</v>
      </c>
    </row>
    <row r="1652" spans="1:8" ht="21.75" customHeight="1" x14ac:dyDescent="0.15">
      <c r="A1652" s="250"/>
      <c r="B1652" s="24" t="s">
        <v>25</v>
      </c>
      <c r="C1652" s="22">
        <v>612</v>
      </c>
      <c r="D1652" s="86">
        <f>QUOTIENT(26025160000000,1000000)</f>
        <v>26025160</v>
      </c>
      <c r="E1652" s="86">
        <f>QUOTIENT(1934893800000,1000000)</f>
        <v>1934893</v>
      </c>
      <c r="F1652" s="87">
        <f>QUOTIENT(12285999300000,1000000)</f>
        <v>12285999</v>
      </c>
      <c r="G1652" s="87">
        <f>QUOTIENT(11709472900000,1000000)</f>
        <v>11709472</v>
      </c>
      <c r="H1652" s="88">
        <f>QUOTIENT(94794000000,1000000)</f>
        <v>94794</v>
      </c>
    </row>
    <row r="1653" spans="1:8" ht="21.75" customHeight="1" x14ac:dyDescent="0.15">
      <c r="A1653" s="250"/>
      <c r="B1653" s="23" t="s">
        <v>24</v>
      </c>
      <c r="C1653" s="22">
        <v>2014</v>
      </c>
      <c r="D1653" s="86">
        <f>QUOTIENT(57703400000000,1000000)</f>
        <v>57703400</v>
      </c>
      <c r="E1653" s="86">
        <f>QUOTIENT(6734502700000,1000000)</f>
        <v>6734502</v>
      </c>
      <c r="F1653" s="87">
        <f>QUOTIENT(19025452000000,1000000)</f>
        <v>19025452</v>
      </c>
      <c r="G1653" s="87">
        <f>QUOTIENT(31941095300000,1000000)</f>
        <v>31941095</v>
      </c>
      <c r="H1653" s="88">
        <f>QUOTIENT(2350000000,1000000)</f>
        <v>2350</v>
      </c>
    </row>
    <row r="1654" spans="1:8" ht="21.75" customHeight="1" x14ac:dyDescent="0.15">
      <c r="A1654" s="250"/>
      <c r="B1654" s="23" t="s">
        <v>23</v>
      </c>
      <c r="C1654" s="22">
        <v>441</v>
      </c>
      <c r="D1654" s="86">
        <f>QUOTIENT(4865426000000,1000000)</f>
        <v>4865426</v>
      </c>
      <c r="E1654" s="86">
        <f>QUOTIENT(360404000000,1000000)</f>
        <v>360404</v>
      </c>
      <c r="F1654" s="87">
        <f>QUOTIENT(90307900000,1000000)</f>
        <v>90307</v>
      </c>
      <c r="G1654" s="87">
        <f>QUOTIENT(4414714100000,1000000)</f>
        <v>4414714</v>
      </c>
      <c r="H1654" s="88">
        <f>QUOTIENT(0,1000000)</f>
        <v>0</v>
      </c>
    </row>
    <row r="1655" spans="1:8" ht="21.75" customHeight="1" x14ac:dyDescent="0.15">
      <c r="A1655" s="250"/>
      <c r="B1655" s="23" t="s">
        <v>22</v>
      </c>
      <c r="C1655" s="22">
        <v>147</v>
      </c>
      <c r="D1655" s="86">
        <f>QUOTIENT(1228300000000,1000000)</f>
        <v>1228300</v>
      </c>
      <c r="E1655" s="86">
        <f>QUOTIENT(293070000000,1000000)</f>
        <v>293070</v>
      </c>
      <c r="F1655" s="87">
        <f>QUOTIENT(408500000000,1000000)</f>
        <v>408500</v>
      </c>
      <c r="G1655" s="87">
        <f>QUOTIENT(526730000000,1000000)</f>
        <v>526730</v>
      </c>
      <c r="H1655" s="88">
        <f>QUOTIENT(0,1000000)</f>
        <v>0</v>
      </c>
    </row>
    <row r="1656" spans="1:8" ht="21.75" customHeight="1" x14ac:dyDescent="0.15">
      <c r="A1656" s="250"/>
      <c r="B1656" s="23" t="s">
        <v>21</v>
      </c>
      <c r="C1656" s="22">
        <v>24</v>
      </c>
      <c r="D1656" s="86">
        <f>QUOTIENT(165302000000,1000000)</f>
        <v>165302</v>
      </c>
      <c r="E1656" s="86">
        <f>QUOTIENT(114313000000,1000000)</f>
        <v>114313</v>
      </c>
      <c r="F1656" s="87">
        <f>QUOTIENT(29923000000,1000000)</f>
        <v>29923</v>
      </c>
      <c r="G1656" s="87">
        <f>QUOTIENT(21066000000,1000000)</f>
        <v>21066</v>
      </c>
      <c r="H1656" s="88">
        <f>QUOTIENT(0,1000000)</f>
        <v>0</v>
      </c>
    </row>
    <row r="1657" spans="1:8" ht="21.75" customHeight="1" x14ac:dyDescent="0.15">
      <c r="A1657" s="250"/>
      <c r="B1657" s="23" t="s">
        <v>20</v>
      </c>
      <c r="C1657" s="22">
        <v>0</v>
      </c>
      <c r="D1657" s="86">
        <f>QUOTIENT(0,1000000)</f>
        <v>0</v>
      </c>
      <c r="E1657" s="86">
        <f>QUOTIENT(0,1000000)</f>
        <v>0</v>
      </c>
      <c r="F1657" s="87">
        <f>QUOTIENT(0,1000000)</f>
        <v>0</v>
      </c>
      <c r="G1657" s="87">
        <f>QUOTIENT(0,1000000)</f>
        <v>0</v>
      </c>
      <c r="H1657" s="88">
        <f>QUOTIENT(0,1000000)</f>
        <v>0</v>
      </c>
    </row>
    <row r="1658" spans="1:8" ht="21.75" customHeight="1" x14ac:dyDescent="0.15">
      <c r="A1658" s="250"/>
      <c r="B1658" s="23" t="s">
        <v>19</v>
      </c>
      <c r="C1658" s="22">
        <v>224</v>
      </c>
      <c r="D1658" s="86">
        <f>QUOTIENT(6033430000000,1000000)</f>
        <v>6033430</v>
      </c>
      <c r="E1658" s="86">
        <f>QUOTIENT(562850000000,1000000)</f>
        <v>562850</v>
      </c>
      <c r="F1658" s="87">
        <f>QUOTIENT(2961490000000,1000000)</f>
        <v>2961490</v>
      </c>
      <c r="G1658" s="87">
        <f>QUOTIENT(2449870000000,1000000)</f>
        <v>2449870</v>
      </c>
      <c r="H1658" s="88">
        <f>QUOTIENT(59220000000,1000000)</f>
        <v>59220</v>
      </c>
    </row>
    <row r="1659" spans="1:8" ht="21.75" customHeight="1" x14ac:dyDescent="0.15">
      <c r="A1659" s="250"/>
      <c r="B1659" s="23" t="s">
        <v>18</v>
      </c>
      <c r="C1659" s="22">
        <v>3765</v>
      </c>
      <c r="D1659" s="86">
        <f>QUOTIENT(75907551500000,1000000)</f>
        <v>75907551</v>
      </c>
      <c r="E1659" s="86">
        <f>QUOTIENT(17847146100000,1000000)</f>
        <v>17847146</v>
      </c>
      <c r="F1659" s="87">
        <f>QUOTIENT(28801380100000,1000000)</f>
        <v>28801380</v>
      </c>
      <c r="G1659" s="87">
        <f>QUOTIENT(28713961000000,1000000)</f>
        <v>28713961</v>
      </c>
      <c r="H1659" s="88">
        <f>QUOTIENT(545064300000,1000000)</f>
        <v>545064</v>
      </c>
    </row>
    <row r="1660" spans="1:8" ht="21.75" customHeight="1" x14ac:dyDescent="0.15">
      <c r="A1660" s="250"/>
      <c r="B1660" s="23" t="s">
        <v>17</v>
      </c>
      <c r="C1660" s="22">
        <v>647</v>
      </c>
      <c r="D1660" s="86">
        <f>QUOTIENT(14934060000000,1000000)</f>
        <v>14934060</v>
      </c>
      <c r="E1660" s="86">
        <f>QUOTIENT(3288849100000,1000000)</f>
        <v>3288849</v>
      </c>
      <c r="F1660" s="87">
        <f>QUOTIENT(6069628700000,1000000)</f>
        <v>6069628</v>
      </c>
      <c r="G1660" s="87">
        <f>QUOTIENT(5534770900000,1000000)</f>
        <v>5534770</v>
      </c>
      <c r="H1660" s="88">
        <f>QUOTIENT(40811300000,1000000)</f>
        <v>40811</v>
      </c>
    </row>
    <row r="1661" spans="1:8" ht="21.75" customHeight="1" x14ac:dyDescent="0.15">
      <c r="A1661" s="250"/>
      <c r="B1661" s="23" t="s">
        <v>16</v>
      </c>
      <c r="C1661" s="22">
        <v>62250</v>
      </c>
      <c r="D1661" s="86">
        <f>QUOTIENT(16367906387000,1000000)</f>
        <v>16367906</v>
      </c>
      <c r="E1661" s="86">
        <f>QUOTIENT(4616051033000,1000000)</f>
        <v>4616051</v>
      </c>
      <c r="F1661" s="87">
        <f>QUOTIENT(5221626834000,1000000)</f>
        <v>5221626</v>
      </c>
      <c r="G1661" s="87">
        <f>QUOTIENT(6525128520000,1000000)</f>
        <v>6525128</v>
      </c>
      <c r="H1661" s="88">
        <f>QUOTIENT(5100000000,1000000)</f>
        <v>5100</v>
      </c>
    </row>
    <row r="1662" spans="1:8" ht="21.75" customHeight="1" x14ac:dyDescent="0.15">
      <c r="A1662" s="250"/>
      <c r="B1662" s="23" t="s">
        <v>15</v>
      </c>
      <c r="C1662" s="22">
        <v>638</v>
      </c>
      <c r="D1662" s="86">
        <f>QUOTIENT(4323965565000,1000000)</f>
        <v>4323965</v>
      </c>
      <c r="E1662" s="86">
        <f>QUOTIENT(3692095433000,1000000)</f>
        <v>3692095</v>
      </c>
      <c r="F1662" s="87">
        <f>QUOTIENT(509143302000,1000000)</f>
        <v>509143</v>
      </c>
      <c r="G1662" s="87">
        <f>QUOTIENT(122726830000,1000000)</f>
        <v>122726</v>
      </c>
      <c r="H1662" s="88">
        <f>QUOTIENT(0,1000000)</f>
        <v>0</v>
      </c>
    </row>
    <row r="1663" spans="1:8" ht="21.75" customHeight="1" x14ac:dyDescent="0.15">
      <c r="A1663" s="250"/>
      <c r="B1663" s="23" t="s">
        <v>14</v>
      </c>
      <c r="C1663" s="22">
        <v>40</v>
      </c>
      <c r="D1663" s="86">
        <f>QUOTIENT(215700000000,1000000)</f>
        <v>215700</v>
      </c>
      <c r="E1663" s="86">
        <f>QUOTIENT(101710000000,1000000)</f>
        <v>101710</v>
      </c>
      <c r="F1663" s="87">
        <f>QUOTIENT(48200000000,1000000)</f>
        <v>48200</v>
      </c>
      <c r="G1663" s="87">
        <f>QUOTIENT(65788000000,1000000)</f>
        <v>65788</v>
      </c>
      <c r="H1663" s="88">
        <f>QUOTIENT(2000000,1000000)</f>
        <v>2</v>
      </c>
    </row>
    <row r="1664" spans="1:8" ht="21.75" customHeight="1" x14ac:dyDescent="0.15">
      <c r="A1664" s="250"/>
      <c r="B1664" s="23" t="s">
        <v>13</v>
      </c>
      <c r="C1664" s="22">
        <v>592</v>
      </c>
      <c r="D1664" s="86">
        <f>QUOTIENT(2752787178000,1000000)</f>
        <v>2752787</v>
      </c>
      <c r="E1664" s="86">
        <f>QUOTIENT(216027193000,1000000)</f>
        <v>216027</v>
      </c>
      <c r="F1664" s="87">
        <f>QUOTIENT(1475515185000,1000000)</f>
        <v>1475515</v>
      </c>
      <c r="G1664" s="87">
        <f>QUOTIENT(1061244800000,1000000)</f>
        <v>1061244</v>
      </c>
      <c r="H1664" s="88">
        <f>QUOTIENT(0,1000000)</f>
        <v>0</v>
      </c>
    </row>
    <row r="1665" spans="1:8" ht="21.75" customHeight="1" x14ac:dyDescent="0.15">
      <c r="A1665" s="250"/>
      <c r="B1665" s="23" t="s">
        <v>12</v>
      </c>
      <c r="C1665" s="22">
        <v>262</v>
      </c>
      <c r="D1665" s="86">
        <f>QUOTIENT(7164500000000,1000000)</f>
        <v>7164500</v>
      </c>
      <c r="E1665" s="86">
        <f>QUOTIENT(909500000000,1000000)</f>
        <v>909500</v>
      </c>
      <c r="F1665" s="87">
        <f>QUOTIENT(2392830000000,1000000)</f>
        <v>2392830</v>
      </c>
      <c r="G1665" s="87">
        <f>QUOTIENT(3823870000000,1000000)</f>
        <v>3823870</v>
      </c>
      <c r="H1665" s="88">
        <f>QUOTIENT(38300000000,1000000)</f>
        <v>38300</v>
      </c>
    </row>
    <row r="1666" spans="1:8" ht="21.75" customHeight="1" x14ac:dyDescent="0.15">
      <c r="A1666" s="250"/>
      <c r="B1666" s="23" t="s">
        <v>11</v>
      </c>
      <c r="C1666" s="22">
        <v>64</v>
      </c>
      <c r="D1666" s="86">
        <f>QUOTIENT(1621850000000,1000000)</f>
        <v>1621850</v>
      </c>
      <c r="E1666" s="86">
        <f>QUOTIENT(134100000000,1000000)</f>
        <v>134100</v>
      </c>
      <c r="F1666" s="87">
        <f>QUOTIENT(709650000000,1000000)</f>
        <v>709650</v>
      </c>
      <c r="G1666" s="87">
        <f>QUOTIENT(778100000000,1000000)</f>
        <v>778100</v>
      </c>
      <c r="H1666" s="88">
        <f>QUOTIENT(0,1000000)</f>
        <v>0</v>
      </c>
    </row>
    <row r="1667" spans="1:8" ht="21.75" customHeight="1" x14ac:dyDescent="0.15">
      <c r="A1667" s="250"/>
      <c r="B1667" s="23" t="s">
        <v>10</v>
      </c>
      <c r="C1667" s="22">
        <v>0</v>
      </c>
      <c r="D1667" s="86">
        <f t="shared" ref="D1667:G1669" si="42">QUOTIENT(0,1000000)</f>
        <v>0</v>
      </c>
      <c r="E1667" s="86">
        <f t="shared" si="42"/>
        <v>0</v>
      </c>
      <c r="F1667" s="87">
        <f t="shared" si="42"/>
        <v>0</v>
      </c>
      <c r="G1667" s="87">
        <f t="shared" si="42"/>
        <v>0</v>
      </c>
      <c r="H1667" s="88">
        <f>QUOTIENT(0,1000000)</f>
        <v>0</v>
      </c>
    </row>
    <row r="1668" spans="1:8" ht="21.75" customHeight="1" x14ac:dyDescent="0.15">
      <c r="A1668" s="250"/>
      <c r="B1668" s="23" t="s">
        <v>9</v>
      </c>
      <c r="C1668" s="22">
        <v>0</v>
      </c>
      <c r="D1668" s="86">
        <f t="shared" si="42"/>
        <v>0</v>
      </c>
      <c r="E1668" s="86">
        <f t="shared" si="42"/>
        <v>0</v>
      </c>
      <c r="F1668" s="87">
        <f t="shared" si="42"/>
        <v>0</v>
      </c>
      <c r="G1668" s="87">
        <f t="shared" si="42"/>
        <v>0</v>
      </c>
      <c r="H1668" s="88">
        <f>QUOTIENT(0,1000000)</f>
        <v>0</v>
      </c>
    </row>
    <row r="1669" spans="1:8" ht="21.75" customHeight="1" x14ac:dyDescent="0.15">
      <c r="A1669" s="250"/>
      <c r="B1669" s="23" t="s">
        <v>8</v>
      </c>
      <c r="C1669" s="22">
        <v>0</v>
      </c>
      <c r="D1669" s="86">
        <f t="shared" si="42"/>
        <v>0</v>
      </c>
      <c r="E1669" s="86">
        <f t="shared" si="42"/>
        <v>0</v>
      </c>
      <c r="F1669" s="87">
        <f t="shared" si="42"/>
        <v>0</v>
      </c>
      <c r="G1669" s="87">
        <f t="shared" si="42"/>
        <v>0</v>
      </c>
      <c r="H1669" s="88">
        <f>QUOTIENT(0,1000000)</f>
        <v>0</v>
      </c>
    </row>
    <row r="1670" spans="1:8" ht="21.75" customHeight="1" x14ac:dyDescent="0.15">
      <c r="A1670" s="251"/>
      <c r="B1670" s="23" t="s">
        <v>7</v>
      </c>
      <c r="C1670" s="22">
        <v>32</v>
      </c>
      <c r="D1670" s="86">
        <f>QUOTIENT(17281900000,1000000)</f>
        <v>17281</v>
      </c>
      <c r="E1670" s="86">
        <f>QUOTIENT(466900000,1000000)</f>
        <v>466</v>
      </c>
      <c r="F1670" s="87">
        <f>QUOTIENT(14000000000,1000000)</f>
        <v>14000</v>
      </c>
      <c r="G1670" s="87">
        <f>QUOTIENT(2815000000,1000000)</f>
        <v>2815</v>
      </c>
      <c r="H1670" s="88">
        <f>QUOTIENT(0,1000000)</f>
        <v>0</v>
      </c>
    </row>
    <row r="1671" spans="1:8" ht="21.75" customHeight="1" x14ac:dyDescent="0.15">
      <c r="A1671" s="18" t="s">
        <v>6</v>
      </c>
      <c r="B1671" s="17" t="s">
        <v>5</v>
      </c>
      <c r="C1671" s="16">
        <v>3566</v>
      </c>
      <c r="D1671" s="80">
        <v>25266094</v>
      </c>
      <c r="E1671" s="80">
        <v>929700</v>
      </c>
      <c r="F1671" s="81">
        <v>14842836</v>
      </c>
      <c r="G1671" s="81">
        <v>7826864</v>
      </c>
      <c r="H1671" s="82">
        <v>1666694</v>
      </c>
    </row>
    <row r="1672" spans="1:8" ht="21.75" customHeight="1" x14ac:dyDescent="0.15">
      <c r="A1672" s="252" t="s">
        <v>4</v>
      </c>
      <c r="B1672" s="12" t="s">
        <v>3</v>
      </c>
      <c r="C1672" s="11">
        <v>5730</v>
      </c>
      <c r="D1672" s="89">
        <v>86438080</v>
      </c>
      <c r="E1672" s="89">
        <v>54200657</v>
      </c>
      <c r="F1672" s="90">
        <v>14737140</v>
      </c>
      <c r="G1672" s="90">
        <v>11177535</v>
      </c>
      <c r="H1672" s="91">
        <v>6322747</v>
      </c>
    </row>
    <row r="1673" spans="1:8" ht="21.75" customHeight="1" thickBot="1" x14ac:dyDescent="0.2">
      <c r="A1673" s="253"/>
      <c r="B1673" s="7" t="s">
        <v>1153</v>
      </c>
      <c r="C1673" s="6">
        <v>7562</v>
      </c>
      <c r="D1673" s="92" t="s">
        <v>2178</v>
      </c>
      <c r="E1673" s="92" t="s">
        <v>2178</v>
      </c>
      <c r="F1673" s="92" t="s">
        <v>2178</v>
      </c>
      <c r="G1673" s="92" t="s">
        <v>2178</v>
      </c>
      <c r="H1673" s="93" t="s">
        <v>2178</v>
      </c>
    </row>
    <row r="1674" spans="1:8" ht="18" customHeight="1" x14ac:dyDescent="0.15">
      <c r="A1674" s="3" t="s">
        <v>1155</v>
      </c>
      <c r="B1674" s="2"/>
      <c r="C1674" s="2"/>
      <c r="D1674" s="2"/>
      <c r="E1674" s="2"/>
      <c r="F1674" s="2"/>
      <c r="G1674" s="2"/>
      <c r="H1674" s="2"/>
    </row>
    <row r="1675" spans="1:8" ht="18" customHeight="1" x14ac:dyDescent="0.15">
      <c r="A1675" s="3" t="s">
        <v>2587</v>
      </c>
      <c r="B1675" s="2"/>
      <c r="C1675" s="2"/>
      <c r="D1675" s="2"/>
      <c r="E1675" s="2"/>
      <c r="F1675" s="2"/>
      <c r="G1675" s="2"/>
      <c r="H1675" s="2"/>
    </row>
    <row r="1676" spans="1:8" ht="18" customHeight="1" x14ac:dyDescent="0.15">
      <c r="A1676" s="3" t="s">
        <v>1156</v>
      </c>
      <c r="B1676" s="2"/>
      <c r="C1676" s="2"/>
      <c r="D1676" s="2"/>
      <c r="E1676" s="2"/>
      <c r="F1676" s="2"/>
      <c r="G1676" s="2"/>
      <c r="H1676" s="2"/>
    </row>
    <row r="1677" spans="1:8" ht="18" customHeight="1" x14ac:dyDescent="0.15">
      <c r="A1677" s="3" t="s">
        <v>2475</v>
      </c>
      <c r="B1677" s="2"/>
      <c r="C1677" s="2"/>
      <c r="D1677" s="2"/>
      <c r="E1677" s="2"/>
      <c r="F1677" s="2"/>
      <c r="G1677" s="2"/>
      <c r="H1677" s="2"/>
    </row>
    <row r="1678" spans="1:8" ht="24" x14ac:dyDescent="0.15">
      <c r="A1678" s="230" t="s">
        <v>2472</v>
      </c>
      <c r="B1678" s="230"/>
      <c r="C1678" s="230"/>
      <c r="D1678" s="230"/>
      <c r="E1678" s="230"/>
      <c r="F1678" s="230"/>
      <c r="G1678" s="230"/>
      <c r="H1678" s="230"/>
    </row>
    <row r="1679" spans="1:8" ht="18" customHeight="1" x14ac:dyDescent="0.15">
      <c r="A1679" s="231"/>
      <c r="B1679" s="231"/>
      <c r="C1679" s="231"/>
      <c r="D1679" s="231"/>
      <c r="E1679" s="231"/>
      <c r="F1679" s="231"/>
      <c r="G1679" s="231"/>
      <c r="H1679" s="231"/>
    </row>
    <row r="1680" spans="1:8" thickBot="1" x14ac:dyDescent="0.2">
      <c r="A1680" s="58" t="s">
        <v>48</v>
      </c>
    </row>
    <row r="1681" spans="1:8" ht="18" customHeight="1" x14ac:dyDescent="0.15">
      <c r="A1681" s="232" t="s">
        <v>47</v>
      </c>
      <c r="B1681" s="235" t="s">
        <v>46</v>
      </c>
      <c r="C1681" s="238" t="s">
        <v>45</v>
      </c>
      <c r="D1681" s="241" t="s">
        <v>44</v>
      </c>
      <c r="E1681" s="94"/>
      <c r="F1681" s="56"/>
      <c r="G1681" s="56"/>
      <c r="H1681" s="55"/>
    </row>
    <row r="1682" spans="1:8" ht="18" customHeight="1" x14ac:dyDescent="0.15">
      <c r="A1682" s="233"/>
      <c r="B1682" s="236"/>
      <c r="C1682" s="239"/>
      <c r="D1682" s="242"/>
      <c r="E1682" s="244" t="s">
        <v>43</v>
      </c>
      <c r="F1682" s="246" t="s">
        <v>42</v>
      </c>
      <c r="G1682" s="246" t="s">
        <v>41</v>
      </c>
      <c r="H1682" s="248" t="s">
        <v>40</v>
      </c>
    </row>
    <row r="1683" spans="1:8" ht="18" customHeight="1" thickBot="1" x14ac:dyDescent="0.2">
      <c r="A1683" s="234"/>
      <c r="B1683" s="237"/>
      <c r="C1683" s="240"/>
      <c r="D1683" s="243"/>
      <c r="E1683" s="245"/>
      <c r="F1683" s="247"/>
      <c r="G1683" s="247"/>
      <c r="H1683" s="249"/>
    </row>
    <row r="1684" spans="1:8" s="60" customFormat="1" ht="18" customHeight="1" thickTop="1" x14ac:dyDescent="0.15">
      <c r="A1684" s="95"/>
      <c r="B1684" s="96"/>
      <c r="C1684" s="52"/>
      <c r="D1684" s="51" t="s">
        <v>39</v>
      </c>
      <c r="E1684" s="50" t="s">
        <v>39</v>
      </c>
      <c r="F1684" s="49" t="s">
        <v>39</v>
      </c>
      <c r="G1684" s="49" t="s">
        <v>39</v>
      </c>
      <c r="H1684" s="48" t="s">
        <v>39</v>
      </c>
    </row>
    <row r="1685" spans="1:8" ht="21.75" customHeight="1" x14ac:dyDescent="0.15">
      <c r="A1685" s="250" t="s">
        <v>38</v>
      </c>
      <c r="B1685" s="61" t="s">
        <v>37</v>
      </c>
      <c r="C1685" s="62">
        <v>3861</v>
      </c>
      <c r="D1685" s="63">
        <f>QUOTIENT(702009687237090,1000000)</f>
        <v>702009687</v>
      </c>
      <c r="E1685" s="63">
        <f>QUOTIENT(258894075742732,1000000)</f>
        <v>258894075</v>
      </c>
      <c r="F1685" s="64">
        <f>QUOTIENT(217790070246305,1000000)</f>
        <v>217790070</v>
      </c>
      <c r="G1685" s="64">
        <f>QUOTIENT(216442329745436,1000000)</f>
        <v>216442329</v>
      </c>
      <c r="H1685" s="65">
        <f>QUOTIENT(8883211502615,1000000)</f>
        <v>8883211</v>
      </c>
    </row>
    <row r="1686" spans="1:8" ht="21.75" customHeight="1" x14ac:dyDescent="0.15">
      <c r="A1686" s="250"/>
      <c r="B1686" s="66" t="s">
        <v>36</v>
      </c>
      <c r="C1686" s="67">
        <v>24</v>
      </c>
      <c r="D1686" s="68">
        <f>QUOTIENT(178985758500,1000000)</f>
        <v>178985</v>
      </c>
      <c r="E1686" s="68">
        <f>QUOTIENT(56215816500,1000000)</f>
        <v>56215</v>
      </c>
      <c r="F1686" s="69">
        <f>QUOTIENT(112646102000,1000000)</f>
        <v>112646</v>
      </c>
      <c r="G1686" s="69">
        <f>QUOTIENT(10119857000,1000000)</f>
        <v>10119</v>
      </c>
      <c r="H1686" s="70">
        <f>QUOTIENT(3983000,1000000)</f>
        <v>3</v>
      </c>
    </row>
    <row r="1687" spans="1:8" ht="21.75" customHeight="1" x14ac:dyDescent="0.15">
      <c r="A1687" s="250"/>
      <c r="B1687" s="66" t="s">
        <v>35</v>
      </c>
      <c r="C1687" s="67">
        <v>105</v>
      </c>
      <c r="D1687" s="68">
        <f>QUOTIENT(0,1000000)</f>
        <v>0</v>
      </c>
      <c r="E1687" s="68">
        <f>QUOTIENT(0,1000000)</f>
        <v>0</v>
      </c>
      <c r="F1687" s="69">
        <f>QUOTIENT(0,1000000)</f>
        <v>0</v>
      </c>
      <c r="G1687" s="69">
        <f>QUOTIENT(0,1000000)</f>
        <v>0</v>
      </c>
      <c r="H1687" s="70">
        <f>QUOTIENT(0,1000000)</f>
        <v>0</v>
      </c>
    </row>
    <row r="1688" spans="1:8" ht="21.75" customHeight="1" x14ac:dyDescent="0.15">
      <c r="A1688" s="250"/>
      <c r="B1688" s="71" t="s">
        <v>34</v>
      </c>
      <c r="C1688" s="72">
        <v>1</v>
      </c>
      <c r="D1688" s="73">
        <f>QUOTIENT(168131902800,1000000)</f>
        <v>168131</v>
      </c>
      <c r="E1688" s="73">
        <f>QUOTIENT(124979942200,1000000)</f>
        <v>124979</v>
      </c>
      <c r="F1688" s="74">
        <f>QUOTIENT(8215939200,1000000)</f>
        <v>8215</v>
      </c>
      <c r="G1688" s="74">
        <f>QUOTIENT(30708164800,1000000)</f>
        <v>30708</v>
      </c>
      <c r="H1688" s="75">
        <f>QUOTIENT(4227856600,1000000)</f>
        <v>4227</v>
      </c>
    </row>
    <row r="1689" spans="1:8" ht="21.75" customHeight="1" x14ac:dyDescent="0.15">
      <c r="A1689" s="250"/>
      <c r="B1689" s="66" t="s">
        <v>33</v>
      </c>
      <c r="C1689" s="67">
        <v>69</v>
      </c>
      <c r="D1689" s="68">
        <f>QUOTIENT(14530765770760,1000000)</f>
        <v>14530765</v>
      </c>
      <c r="E1689" s="68">
        <f>QUOTIENT(3634476983130,1000000)</f>
        <v>3634476</v>
      </c>
      <c r="F1689" s="69">
        <f>QUOTIENT(4050017604680,1000000)</f>
        <v>4050017</v>
      </c>
      <c r="G1689" s="69">
        <f>QUOTIENT(6712178017120,1000000)</f>
        <v>6712178</v>
      </c>
      <c r="H1689" s="70">
        <f>QUOTIENT(134093165830,1000000)</f>
        <v>134093</v>
      </c>
    </row>
    <row r="1690" spans="1:8" ht="21.75" customHeight="1" x14ac:dyDescent="0.15">
      <c r="A1690" s="250"/>
      <c r="B1690" s="76" t="s">
        <v>32</v>
      </c>
      <c r="C1690" s="67">
        <v>192</v>
      </c>
      <c r="D1690" s="68">
        <f>QUOTIENT(54830501891780,1000000)</f>
        <v>54830501</v>
      </c>
      <c r="E1690" s="68">
        <f>QUOTIENT(3851983426029,1000000)</f>
        <v>3851983</v>
      </c>
      <c r="F1690" s="69">
        <f>QUOTIENT(1235279268897,1000000)</f>
        <v>1235279</v>
      </c>
      <c r="G1690" s="69">
        <f>QUOTIENT(49590504555759,1000000)</f>
        <v>49590504</v>
      </c>
      <c r="H1690" s="70">
        <f>QUOTIENT(152734641095,1000000)</f>
        <v>152734</v>
      </c>
    </row>
    <row r="1691" spans="1:8" ht="21.75" customHeight="1" x14ac:dyDescent="0.15">
      <c r="A1691" s="251"/>
      <c r="B1691" s="77" t="s">
        <v>31</v>
      </c>
      <c r="C1691" s="72">
        <v>44</v>
      </c>
      <c r="D1691" s="73">
        <f>QUOTIENT(425485422336,1000000)</f>
        <v>425485</v>
      </c>
      <c r="E1691" s="73">
        <f>QUOTIENT(344787746676,1000000)</f>
        <v>344787</v>
      </c>
      <c r="F1691" s="74">
        <f>QUOTIENT(5738483479,1000000)</f>
        <v>5738</v>
      </c>
      <c r="G1691" s="74">
        <f>QUOTIENT(60830497170,1000000)</f>
        <v>60830</v>
      </c>
      <c r="H1691" s="75">
        <f>QUOTIENT(14128695011,1000000)</f>
        <v>14128</v>
      </c>
    </row>
    <row r="1692" spans="1:8" ht="21.75" customHeight="1" x14ac:dyDescent="0.15">
      <c r="A1692" s="30" t="s">
        <v>30</v>
      </c>
      <c r="B1692" s="78" t="s">
        <v>29</v>
      </c>
      <c r="C1692" s="79">
        <v>28</v>
      </c>
      <c r="D1692" s="80">
        <f>QUOTIENT(100919421296,1000000)</f>
        <v>100919</v>
      </c>
      <c r="E1692" s="80">
        <f>QUOTIENT(89340887476,1000000)</f>
        <v>89340</v>
      </c>
      <c r="F1692" s="81">
        <f>QUOTIENT(550552016,1000000)</f>
        <v>550</v>
      </c>
      <c r="G1692" s="81">
        <f>QUOTIENT(351166500,1000000)</f>
        <v>351</v>
      </c>
      <c r="H1692" s="82">
        <f>QUOTIENT(10676815304,1000000)</f>
        <v>10676</v>
      </c>
    </row>
    <row r="1693" spans="1:8" ht="21.75" customHeight="1" x14ac:dyDescent="0.15">
      <c r="A1693" s="252" t="s">
        <v>28</v>
      </c>
      <c r="B1693" s="17" t="s">
        <v>27</v>
      </c>
      <c r="C1693" s="16">
        <v>3269</v>
      </c>
      <c r="D1693" s="83">
        <f>QUOTIENT(62905551570000,1000000)</f>
        <v>62905551</v>
      </c>
      <c r="E1693" s="83">
        <f>QUOTIENT(9561038210000,1000000)</f>
        <v>9561038</v>
      </c>
      <c r="F1693" s="84">
        <f>QUOTIENT(26719291490000,1000000)</f>
        <v>26719291</v>
      </c>
      <c r="G1693" s="84">
        <f>QUOTIENT(26493194140000,1000000)</f>
        <v>26493194</v>
      </c>
      <c r="H1693" s="85">
        <f>QUOTIENT(132027730000,1000000)</f>
        <v>132027</v>
      </c>
    </row>
    <row r="1694" spans="1:8" ht="21.75" customHeight="1" x14ac:dyDescent="0.15">
      <c r="A1694" s="250"/>
      <c r="B1694" s="23" t="s">
        <v>26</v>
      </c>
      <c r="C1694" s="22">
        <v>3487</v>
      </c>
      <c r="D1694" s="86">
        <f>QUOTIENT(15005575256000,1000000)</f>
        <v>15005575</v>
      </c>
      <c r="E1694" s="86">
        <f>QUOTIENT(577353630000,1000000)</f>
        <v>577353</v>
      </c>
      <c r="F1694" s="87">
        <f>QUOTIENT(9460976760000,1000000)</f>
        <v>9460976</v>
      </c>
      <c r="G1694" s="87">
        <f>QUOTIENT(4956397866000,1000000)</f>
        <v>4956397</v>
      </c>
      <c r="H1694" s="88">
        <f>QUOTIENT(10847000000,1000000)</f>
        <v>10847</v>
      </c>
    </row>
    <row r="1695" spans="1:8" ht="21.75" customHeight="1" x14ac:dyDescent="0.15">
      <c r="A1695" s="250"/>
      <c r="B1695" s="24" t="s">
        <v>25</v>
      </c>
      <c r="C1695" s="22">
        <v>614</v>
      </c>
      <c r="D1695" s="86">
        <f>QUOTIENT(26275160000000,1000000)</f>
        <v>26275160</v>
      </c>
      <c r="E1695" s="86">
        <f>QUOTIENT(1920754700000,1000000)</f>
        <v>1920754</v>
      </c>
      <c r="F1695" s="87">
        <f>QUOTIENT(12466781200000,1000000)</f>
        <v>12466781</v>
      </c>
      <c r="G1695" s="87">
        <f>QUOTIENT(11796830100000,1000000)</f>
        <v>11796830</v>
      </c>
      <c r="H1695" s="88">
        <f>QUOTIENT(90794000000,1000000)</f>
        <v>90794</v>
      </c>
    </row>
    <row r="1696" spans="1:8" ht="21.75" customHeight="1" x14ac:dyDescent="0.15">
      <c r="A1696" s="250"/>
      <c r="B1696" s="23" t="s">
        <v>24</v>
      </c>
      <c r="C1696" s="22">
        <v>1999</v>
      </c>
      <c r="D1696" s="86">
        <f>QUOTIENT(57284000000000,1000000)</f>
        <v>57284000</v>
      </c>
      <c r="E1696" s="86">
        <f>QUOTIENT(6638192700000,1000000)</f>
        <v>6638192</v>
      </c>
      <c r="F1696" s="87">
        <f>QUOTIENT(18817672000000,1000000)</f>
        <v>18817672</v>
      </c>
      <c r="G1696" s="87">
        <f>QUOTIENT(31825785300000,1000000)</f>
        <v>31825785</v>
      </c>
      <c r="H1696" s="88">
        <f>QUOTIENT(2350000000,1000000)</f>
        <v>2350</v>
      </c>
    </row>
    <row r="1697" spans="1:8" ht="21.75" customHeight="1" x14ac:dyDescent="0.15">
      <c r="A1697" s="250"/>
      <c r="B1697" s="23" t="s">
        <v>23</v>
      </c>
      <c r="C1697" s="22">
        <v>438</v>
      </c>
      <c r="D1697" s="86">
        <f>QUOTIENT(4867426000000,1000000)</f>
        <v>4867426</v>
      </c>
      <c r="E1697" s="86">
        <f>QUOTIENT(359446000000,1000000)</f>
        <v>359446</v>
      </c>
      <c r="F1697" s="87">
        <f>QUOTIENT(90307900000,1000000)</f>
        <v>90307</v>
      </c>
      <c r="G1697" s="87">
        <f>QUOTIENT(4417672100000,1000000)</f>
        <v>4417672</v>
      </c>
      <c r="H1697" s="88">
        <f>QUOTIENT(0,1000000)</f>
        <v>0</v>
      </c>
    </row>
    <row r="1698" spans="1:8" ht="21.75" customHeight="1" x14ac:dyDescent="0.15">
      <c r="A1698" s="250"/>
      <c r="B1698" s="23" t="s">
        <v>22</v>
      </c>
      <c r="C1698" s="22">
        <v>147</v>
      </c>
      <c r="D1698" s="86">
        <f>QUOTIENT(1228300000000,1000000)</f>
        <v>1228300</v>
      </c>
      <c r="E1698" s="86">
        <f>QUOTIENT(292570000000,1000000)</f>
        <v>292570</v>
      </c>
      <c r="F1698" s="87">
        <f>QUOTIENT(407700000000,1000000)</f>
        <v>407700</v>
      </c>
      <c r="G1698" s="87">
        <f>QUOTIENT(528030000000,1000000)</f>
        <v>528030</v>
      </c>
      <c r="H1698" s="88">
        <f>QUOTIENT(0,1000000)</f>
        <v>0</v>
      </c>
    </row>
    <row r="1699" spans="1:8" ht="21.75" customHeight="1" x14ac:dyDescent="0.15">
      <c r="A1699" s="250"/>
      <c r="B1699" s="23" t="s">
        <v>21</v>
      </c>
      <c r="C1699" s="22">
        <v>24</v>
      </c>
      <c r="D1699" s="86">
        <f>QUOTIENT(165302000000,1000000)</f>
        <v>165302</v>
      </c>
      <c r="E1699" s="86">
        <f>QUOTIENT(114438000000,1000000)</f>
        <v>114438</v>
      </c>
      <c r="F1699" s="87">
        <f>QUOTIENT(29798000000,1000000)</f>
        <v>29798</v>
      </c>
      <c r="G1699" s="87">
        <f>QUOTIENT(21066000000,1000000)</f>
        <v>21066</v>
      </c>
      <c r="H1699" s="88">
        <f>QUOTIENT(0,1000000)</f>
        <v>0</v>
      </c>
    </row>
    <row r="1700" spans="1:8" ht="21.75" customHeight="1" x14ac:dyDescent="0.15">
      <c r="A1700" s="250"/>
      <c r="B1700" s="23" t="s">
        <v>20</v>
      </c>
      <c r="C1700" s="22">
        <v>0</v>
      </c>
      <c r="D1700" s="86">
        <f>QUOTIENT(0,1000000)</f>
        <v>0</v>
      </c>
      <c r="E1700" s="86">
        <f>QUOTIENT(0,1000000)</f>
        <v>0</v>
      </c>
      <c r="F1700" s="87">
        <f>QUOTIENT(0,1000000)</f>
        <v>0</v>
      </c>
      <c r="G1700" s="87">
        <f>QUOTIENT(0,1000000)</f>
        <v>0</v>
      </c>
      <c r="H1700" s="88">
        <f>QUOTIENT(0,1000000)</f>
        <v>0</v>
      </c>
    </row>
    <row r="1701" spans="1:8" ht="21.75" customHeight="1" x14ac:dyDescent="0.15">
      <c r="A1701" s="250"/>
      <c r="B1701" s="23" t="s">
        <v>19</v>
      </c>
      <c r="C1701" s="22">
        <v>226</v>
      </c>
      <c r="D1701" s="86">
        <f>QUOTIENT(6133670000000,1000000)</f>
        <v>6133670</v>
      </c>
      <c r="E1701" s="86">
        <f>QUOTIENT(554050000000,1000000)</f>
        <v>554050</v>
      </c>
      <c r="F1701" s="87">
        <f>QUOTIENT(3031120000000,1000000)</f>
        <v>3031120</v>
      </c>
      <c r="G1701" s="87">
        <f>QUOTIENT(2495580000000,1000000)</f>
        <v>2495580</v>
      </c>
      <c r="H1701" s="88">
        <f>QUOTIENT(52920000000,1000000)</f>
        <v>52920</v>
      </c>
    </row>
    <row r="1702" spans="1:8" ht="21.75" customHeight="1" x14ac:dyDescent="0.15">
      <c r="A1702" s="250"/>
      <c r="B1702" s="23" t="s">
        <v>18</v>
      </c>
      <c r="C1702" s="22">
        <v>3761</v>
      </c>
      <c r="D1702" s="86">
        <f>QUOTIENT(75603731000000,1000000)</f>
        <v>75603731</v>
      </c>
      <c r="E1702" s="86">
        <f>QUOTIENT(17768724400000,1000000)</f>
        <v>17768724</v>
      </c>
      <c r="F1702" s="87">
        <f>QUOTIENT(27892011000000,1000000)</f>
        <v>27892011</v>
      </c>
      <c r="G1702" s="87">
        <f>QUOTIENT(29394219300000,1000000)</f>
        <v>29394219</v>
      </c>
      <c r="H1702" s="88">
        <f>QUOTIENT(548776300000,1000000)</f>
        <v>548776</v>
      </c>
    </row>
    <row r="1703" spans="1:8" ht="21.75" customHeight="1" x14ac:dyDescent="0.15">
      <c r="A1703" s="250"/>
      <c r="B1703" s="23" t="s">
        <v>17</v>
      </c>
      <c r="C1703" s="22">
        <v>641</v>
      </c>
      <c r="D1703" s="86">
        <f>QUOTIENT(14829060000000,1000000)</f>
        <v>14829060</v>
      </c>
      <c r="E1703" s="86">
        <f>QUOTIENT(3257154000000,1000000)</f>
        <v>3257154</v>
      </c>
      <c r="F1703" s="87">
        <f>QUOTIENT(6008307500000,1000000)</f>
        <v>6008307</v>
      </c>
      <c r="G1703" s="87">
        <f>QUOTIENT(5523194200000,1000000)</f>
        <v>5523194</v>
      </c>
      <c r="H1703" s="88">
        <f>QUOTIENT(40404300000,1000000)</f>
        <v>40404</v>
      </c>
    </row>
    <row r="1704" spans="1:8" ht="21.75" customHeight="1" x14ac:dyDescent="0.15">
      <c r="A1704" s="250"/>
      <c r="B1704" s="23" t="s">
        <v>16</v>
      </c>
      <c r="C1704" s="22">
        <v>62093</v>
      </c>
      <c r="D1704" s="86">
        <f>QUOTIENT(16518264011000,1000000)</f>
        <v>16518264</v>
      </c>
      <c r="E1704" s="86">
        <f>QUOTIENT(4627526033000,1000000)</f>
        <v>4627526</v>
      </c>
      <c r="F1704" s="87">
        <f>QUOTIENT(5289949334000,1000000)</f>
        <v>5289949</v>
      </c>
      <c r="G1704" s="87">
        <f>QUOTIENT(6595688644000,1000000)</f>
        <v>6595688</v>
      </c>
      <c r="H1704" s="88">
        <f>QUOTIENT(5100000000,1000000)</f>
        <v>5100</v>
      </c>
    </row>
    <row r="1705" spans="1:8" ht="21.75" customHeight="1" x14ac:dyDescent="0.15">
      <c r="A1705" s="250"/>
      <c r="B1705" s="23" t="s">
        <v>15</v>
      </c>
      <c r="C1705" s="22">
        <v>658</v>
      </c>
      <c r="D1705" s="86">
        <f>QUOTIENT(4416763689000,1000000)</f>
        <v>4416763</v>
      </c>
      <c r="E1705" s="86">
        <f>QUOTIENT(3708270433000,1000000)</f>
        <v>3708270</v>
      </c>
      <c r="F1705" s="87">
        <f>QUOTIENT(569255302000,1000000)</f>
        <v>569255</v>
      </c>
      <c r="G1705" s="87">
        <f>QUOTIENT(139237954000,1000000)</f>
        <v>139237</v>
      </c>
      <c r="H1705" s="88">
        <f>QUOTIENT(0,1000000)</f>
        <v>0</v>
      </c>
    </row>
    <row r="1706" spans="1:8" ht="21.75" customHeight="1" x14ac:dyDescent="0.15">
      <c r="A1706" s="250"/>
      <c r="B1706" s="23" t="s">
        <v>14</v>
      </c>
      <c r="C1706" s="22">
        <v>40</v>
      </c>
      <c r="D1706" s="86">
        <f>QUOTIENT(215700000000,1000000)</f>
        <v>215700</v>
      </c>
      <c r="E1706" s="86">
        <f>QUOTIENT(100713000000,1000000)</f>
        <v>100713</v>
      </c>
      <c r="F1706" s="87">
        <f>QUOTIENT(44200000000,1000000)</f>
        <v>44200</v>
      </c>
      <c r="G1706" s="87">
        <f>QUOTIENT(70785000000,1000000)</f>
        <v>70785</v>
      </c>
      <c r="H1706" s="88">
        <f>QUOTIENT(2000000,1000000)</f>
        <v>2</v>
      </c>
    </row>
    <row r="1707" spans="1:8" ht="21.75" customHeight="1" x14ac:dyDescent="0.15">
      <c r="A1707" s="250"/>
      <c r="B1707" s="23" t="s">
        <v>13</v>
      </c>
      <c r="C1707" s="22">
        <v>591</v>
      </c>
      <c r="D1707" s="86">
        <f>QUOTIENT(2768291427000,1000000)</f>
        <v>2768291</v>
      </c>
      <c r="E1707" s="86">
        <f>QUOTIENT(220330442000,1000000)</f>
        <v>220330</v>
      </c>
      <c r="F1707" s="87">
        <f>QUOTIENT(1468316185000,1000000)</f>
        <v>1468316</v>
      </c>
      <c r="G1707" s="87">
        <f>QUOTIENT(1079644800000,1000000)</f>
        <v>1079644</v>
      </c>
      <c r="H1707" s="88">
        <f>QUOTIENT(0,1000000)</f>
        <v>0</v>
      </c>
    </row>
    <row r="1708" spans="1:8" ht="21.75" customHeight="1" x14ac:dyDescent="0.15">
      <c r="A1708" s="250"/>
      <c r="B1708" s="23" t="s">
        <v>12</v>
      </c>
      <c r="C1708" s="22">
        <v>264</v>
      </c>
      <c r="D1708" s="86">
        <f>QUOTIENT(7267900000000,1000000)</f>
        <v>7267900</v>
      </c>
      <c r="E1708" s="86">
        <f>QUOTIENT(904100000000,1000000)</f>
        <v>904100</v>
      </c>
      <c r="F1708" s="87">
        <f>QUOTIENT(2421730000000,1000000)</f>
        <v>2421730</v>
      </c>
      <c r="G1708" s="87">
        <f>QUOTIENT(3903770000000,1000000)</f>
        <v>3903770</v>
      </c>
      <c r="H1708" s="88">
        <f>QUOTIENT(38300000000,1000000)</f>
        <v>38300</v>
      </c>
    </row>
    <row r="1709" spans="1:8" ht="21.75" customHeight="1" x14ac:dyDescent="0.15">
      <c r="A1709" s="250"/>
      <c r="B1709" s="23" t="s">
        <v>11</v>
      </c>
      <c r="C1709" s="22">
        <v>70</v>
      </c>
      <c r="D1709" s="86">
        <f>QUOTIENT(1683350000000,1000000)</f>
        <v>1683350</v>
      </c>
      <c r="E1709" s="86">
        <f>QUOTIENT(134800000000,1000000)</f>
        <v>134800</v>
      </c>
      <c r="F1709" s="87">
        <f>QUOTIENT(745050000000,1000000)</f>
        <v>745050</v>
      </c>
      <c r="G1709" s="87">
        <f>QUOTIENT(803500000000,1000000)</f>
        <v>803500</v>
      </c>
      <c r="H1709" s="88">
        <f>QUOTIENT(0,1000000)</f>
        <v>0</v>
      </c>
    </row>
    <row r="1710" spans="1:8" ht="21.75" customHeight="1" x14ac:dyDescent="0.15">
      <c r="A1710" s="250"/>
      <c r="B1710" s="23" t="s">
        <v>10</v>
      </c>
      <c r="C1710" s="22">
        <v>0</v>
      </c>
      <c r="D1710" s="86">
        <f t="shared" ref="D1710:G1712" si="43">QUOTIENT(0,1000000)</f>
        <v>0</v>
      </c>
      <c r="E1710" s="86">
        <f t="shared" si="43"/>
        <v>0</v>
      </c>
      <c r="F1710" s="87">
        <f t="shared" si="43"/>
        <v>0</v>
      </c>
      <c r="G1710" s="87">
        <f t="shared" si="43"/>
        <v>0</v>
      </c>
      <c r="H1710" s="88">
        <f>QUOTIENT(0,1000000)</f>
        <v>0</v>
      </c>
    </row>
    <row r="1711" spans="1:8" ht="21.75" customHeight="1" x14ac:dyDescent="0.15">
      <c r="A1711" s="250"/>
      <c r="B1711" s="23" t="s">
        <v>9</v>
      </c>
      <c r="C1711" s="22">
        <v>0</v>
      </c>
      <c r="D1711" s="86">
        <f t="shared" si="43"/>
        <v>0</v>
      </c>
      <c r="E1711" s="86">
        <f t="shared" si="43"/>
        <v>0</v>
      </c>
      <c r="F1711" s="87">
        <f t="shared" si="43"/>
        <v>0</v>
      </c>
      <c r="G1711" s="87">
        <f t="shared" si="43"/>
        <v>0</v>
      </c>
      <c r="H1711" s="88">
        <f>QUOTIENT(0,1000000)</f>
        <v>0</v>
      </c>
    </row>
    <row r="1712" spans="1:8" ht="21.75" customHeight="1" x14ac:dyDescent="0.15">
      <c r="A1712" s="250"/>
      <c r="B1712" s="23" t="s">
        <v>8</v>
      </c>
      <c r="C1712" s="22">
        <v>0</v>
      </c>
      <c r="D1712" s="86">
        <f t="shared" si="43"/>
        <v>0</v>
      </c>
      <c r="E1712" s="86">
        <f t="shared" si="43"/>
        <v>0</v>
      </c>
      <c r="F1712" s="87">
        <f t="shared" si="43"/>
        <v>0</v>
      </c>
      <c r="G1712" s="87">
        <f t="shared" si="43"/>
        <v>0</v>
      </c>
      <c r="H1712" s="88">
        <f>QUOTIENT(0,1000000)</f>
        <v>0</v>
      </c>
    </row>
    <row r="1713" spans="1:8" ht="21.75" customHeight="1" x14ac:dyDescent="0.15">
      <c r="A1713" s="251"/>
      <c r="B1713" s="23" t="s">
        <v>7</v>
      </c>
      <c r="C1713" s="22">
        <v>31</v>
      </c>
      <c r="D1713" s="86">
        <f>QUOTIENT(17111900000,1000000)</f>
        <v>17111</v>
      </c>
      <c r="E1713" s="86">
        <f>QUOTIENT(466900000,1000000)</f>
        <v>466</v>
      </c>
      <c r="F1713" s="87">
        <f>QUOTIENT(14000000000,1000000)</f>
        <v>14000</v>
      </c>
      <c r="G1713" s="87">
        <f>QUOTIENT(2645000000,1000000)</f>
        <v>2645</v>
      </c>
      <c r="H1713" s="88">
        <f>QUOTIENT(0,1000000)</f>
        <v>0</v>
      </c>
    </row>
    <row r="1714" spans="1:8" ht="21.75" customHeight="1" x14ac:dyDescent="0.15">
      <c r="A1714" s="18" t="s">
        <v>6</v>
      </c>
      <c r="B1714" s="17" t="s">
        <v>5</v>
      </c>
      <c r="C1714" s="16">
        <v>3603</v>
      </c>
      <c r="D1714" s="80">
        <v>23565424</v>
      </c>
      <c r="E1714" s="80">
        <v>933400</v>
      </c>
      <c r="F1714" s="81">
        <v>13764628</v>
      </c>
      <c r="G1714" s="81">
        <v>7445318</v>
      </c>
      <c r="H1714" s="82">
        <v>1422078</v>
      </c>
    </row>
    <row r="1715" spans="1:8" ht="21.75" customHeight="1" x14ac:dyDescent="0.15">
      <c r="A1715" s="252" t="s">
        <v>4</v>
      </c>
      <c r="B1715" s="12" t="s">
        <v>3</v>
      </c>
      <c r="C1715" s="11">
        <v>5721</v>
      </c>
      <c r="D1715" s="89">
        <v>84777655</v>
      </c>
      <c r="E1715" s="89">
        <v>52935197</v>
      </c>
      <c r="F1715" s="90">
        <v>14594311</v>
      </c>
      <c r="G1715" s="90">
        <v>10924630</v>
      </c>
      <c r="H1715" s="91">
        <v>6323515</v>
      </c>
    </row>
    <row r="1716" spans="1:8" ht="21.75" customHeight="1" thickBot="1" x14ac:dyDescent="0.2">
      <c r="A1716" s="253"/>
      <c r="B1716" s="7" t="s">
        <v>1153</v>
      </c>
      <c r="C1716" s="6">
        <v>7474</v>
      </c>
      <c r="D1716" s="92" t="s">
        <v>2178</v>
      </c>
      <c r="E1716" s="92" t="s">
        <v>2178</v>
      </c>
      <c r="F1716" s="92" t="s">
        <v>2178</v>
      </c>
      <c r="G1716" s="92" t="s">
        <v>2178</v>
      </c>
      <c r="H1716" s="93" t="s">
        <v>2178</v>
      </c>
    </row>
    <row r="1717" spans="1:8" ht="18" customHeight="1" x14ac:dyDescent="0.15">
      <c r="A1717" s="3" t="s">
        <v>1155</v>
      </c>
      <c r="B1717" s="2"/>
      <c r="C1717" s="2"/>
      <c r="D1717" s="2"/>
      <c r="E1717" s="2"/>
      <c r="F1717" s="2"/>
      <c r="G1717" s="2"/>
      <c r="H1717" s="2"/>
    </row>
    <row r="1718" spans="1:8" ht="18" customHeight="1" x14ac:dyDescent="0.15">
      <c r="A1718" s="3" t="s">
        <v>2587</v>
      </c>
      <c r="B1718" s="2"/>
      <c r="C1718" s="2"/>
      <c r="D1718" s="2"/>
      <c r="E1718" s="2"/>
      <c r="F1718" s="2"/>
      <c r="G1718" s="2"/>
      <c r="H1718" s="2"/>
    </row>
    <row r="1719" spans="1:8" ht="18" customHeight="1" x14ac:dyDescent="0.15">
      <c r="A1719" s="3" t="s">
        <v>1156</v>
      </c>
      <c r="B1719" s="2"/>
      <c r="C1719" s="2"/>
      <c r="D1719" s="2"/>
      <c r="E1719" s="2"/>
      <c r="F1719" s="2"/>
      <c r="G1719" s="2"/>
      <c r="H1719" s="2"/>
    </row>
    <row r="1720" spans="1:8" ht="18" customHeight="1" x14ac:dyDescent="0.15">
      <c r="A1720" s="3" t="s">
        <v>2473</v>
      </c>
      <c r="B1720" s="2"/>
      <c r="C1720" s="2"/>
      <c r="D1720" s="2"/>
      <c r="E1720" s="2"/>
      <c r="F1720" s="2"/>
      <c r="G1720" s="2"/>
      <c r="H1720" s="2"/>
    </row>
    <row r="1721" spans="1:8" ht="24" x14ac:dyDescent="0.15">
      <c r="A1721" s="230" t="s">
        <v>2468</v>
      </c>
      <c r="B1721" s="230"/>
      <c r="C1721" s="230"/>
      <c r="D1721" s="230"/>
      <c r="E1721" s="230"/>
      <c r="F1721" s="230"/>
      <c r="G1721" s="230"/>
      <c r="H1721" s="230"/>
    </row>
    <row r="1722" spans="1:8" ht="18" customHeight="1" x14ac:dyDescent="0.15">
      <c r="A1722" s="231"/>
      <c r="B1722" s="231"/>
      <c r="C1722" s="231"/>
      <c r="D1722" s="231"/>
      <c r="E1722" s="231"/>
      <c r="F1722" s="231"/>
      <c r="G1722" s="231"/>
      <c r="H1722" s="231"/>
    </row>
    <row r="1723" spans="1:8" thickBot="1" x14ac:dyDescent="0.2">
      <c r="A1723" s="58" t="s">
        <v>48</v>
      </c>
    </row>
    <row r="1724" spans="1:8" ht="18" customHeight="1" x14ac:dyDescent="0.15">
      <c r="A1724" s="232" t="s">
        <v>47</v>
      </c>
      <c r="B1724" s="235" t="s">
        <v>46</v>
      </c>
      <c r="C1724" s="238" t="s">
        <v>45</v>
      </c>
      <c r="D1724" s="241" t="s">
        <v>44</v>
      </c>
      <c r="E1724" s="57"/>
      <c r="F1724" s="56"/>
      <c r="G1724" s="56"/>
      <c r="H1724" s="55"/>
    </row>
    <row r="1725" spans="1:8" ht="18" customHeight="1" x14ac:dyDescent="0.15">
      <c r="A1725" s="233"/>
      <c r="B1725" s="236"/>
      <c r="C1725" s="239"/>
      <c r="D1725" s="242"/>
      <c r="E1725" s="244" t="s">
        <v>43</v>
      </c>
      <c r="F1725" s="246" t="s">
        <v>42</v>
      </c>
      <c r="G1725" s="246" t="s">
        <v>41</v>
      </c>
      <c r="H1725" s="248" t="s">
        <v>40</v>
      </c>
    </row>
    <row r="1726" spans="1:8" ht="18" customHeight="1" thickBot="1" x14ac:dyDescent="0.2">
      <c r="A1726" s="234"/>
      <c r="B1726" s="237"/>
      <c r="C1726" s="240"/>
      <c r="D1726" s="243"/>
      <c r="E1726" s="245"/>
      <c r="F1726" s="247"/>
      <c r="G1726" s="247"/>
      <c r="H1726" s="249"/>
    </row>
    <row r="1727" spans="1:8" s="60" customFormat="1" ht="18" customHeight="1" thickTop="1" x14ac:dyDescent="0.15">
      <c r="A1727" s="54"/>
      <c r="B1727" s="53"/>
      <c r="C1727" s="52"/>
      <c r="D1727" s="51" t="s">
        <v>39</v>
      </c>
      <c r="E1727" s="50" t="s">
        <v>39</v>
      </c>
      <c r="F1727" s="49" t="s">
        <v>39</v>
      </c>
      <c r="G1727" s="49" t="s">
        <v>39</v>
      </c>
      <c r="H1727" s="48" t="s">
        <v>39</v>
      </c>
    </row>
    <row r="1728" spans="1:8" ht="21.75" customHeight="1" x14ac:dyDescent="0.15">
      <c r="A1728" s="250" t="s">
        <v>38</v>
      </c>
      <c r="B1728" s="61" t="s">
        <v>37</v>
      </c>
      <c r="C1728" s="62">
        <v>3837</v>
      </c>
      <c r="D1728" s="63">
        <f>QUOTIENT(695237903910407,1000000)</f>
        <v>695237903</v>
      </c>
      <c r="E1728" s="63">
        <f>QUOTIENT(255424988514961,1000000)</f>
        <v>255424988</v>
      </c>
      <c r="F1728" s="64">
        <f>QUOTIENT(213403182762502,1000000)</f>
        <v>213403182</v>
      </c>
      <c r="G1728" s="64">
        <f>QUOTIENT(217672983144071,1000000)</f>
        <v>217672983</v>
      </c>
      <c r="H1728" s="65">
        <f>QUOTIENT(8736749488871,1000000)</f>
        <v>8736749</v>
      </c>
    </row>
    <row r="1729" spans="1:8" ht="21.75" customHeight="1" x14ac:dyDescent="0.15">
      <c r="A1729" s="250"/>
      <c r="B1729" s="66" t="s">
        <v>36</v>
      </c>
      <c r="C1729" s="67">
        <v>25</v>
      </c>
      <c r="D1729" s="68">
        <f>QUOTIENT(175426988000,1000000)</f>
        <v>175426</v>
      </c>
      <c r="E1729" s="68">
        <f>QUOTIENT(54301882000,1000000)</f>
        <v>54301</v>
      </c>
      <c r="F1729" s="69">
        <f>QUOTIENT(110742958500,1000000)</f>
        <v>110742</v>
      </c>
      <c r="G1729" s="69">
        <f>QUOTIENT(10378134500,1000000)</f>
        <v>10378</v>
      </c>
      <c r="H1729" s="70">
        <f>QUOTIENT(4013000,1000000)</f>
        <v>4</v>
      </c>
    </row>
    <row r="1730" spans="1:8" ht="21.75" customHeight="1" x14ac:dyDescent="0.15">
      <c r="A1730" s="250"/>
      <c r="B1730" s="66" t="s">
        <v>35</v>
      </c>
      <c r="C1730" s="67">
        <v>93</v>
      </c>
      <c r="D1730" s="68">
        <f>QUOTIENT(288367560,1000000)</f>
        <v>288</v>
      </c>
      <c r="E1730" s="68">
        <f>QUOTIENT(243764043,1000000)</f>
        <v>243</v>
      </c>
      <c r="F1730" s="69">
        <f>QUOTIENT(1909704,1000000)</f>
        <v>1</v>
      </c>
      <c r="G1730" s="69">
        <f>QUOTIENT(35066700,1000000)</f>
        <v>35</v>
      </c>
      <c r="H1730" s="70">
        <f>QUOTIENT(7627113,1000000)</f>
        <v>7</v>
      </c>
    </row>
    <row r="1731" spans="1:8" ht="21.75" customHeight="1" x14ac:dyDescent="0.15">
      <c r="A1731" s="250"/>
      <c r="B1731" s="71" t="s">
        <v>34</v>
      </c>
      <c r="C1731" s="72">
        <v>1</v>
      </c>
      <c r="D1731" s="73">
        <f>QUOTIENT(165086548200,1000000)</f>
        <v>165086</v>
      </c>
      <c r="E1731" s="73">
        <f>QUOTIENT(122138106300,1000000)</f>
        <v>122138</v>
      </c>
      <c r="F1731" s="74">
        <f>QUOTIENT(8110015200,1000000)</f>
        <v>8110</v>
      </c>
      <c r="G1731" s="74">
        <f>QUOTIENT(30695074200,1000000)</f>
        <v>30695</v>
      </c>
      <c r="H1731" s="75">
        <f>QUOTIENT(4143352500,1000000)</f>
        <v>4143</v>
      </c>
    </row>
    <row r="1732" spans="1:8" ht="21.75" customHeight="1" x14ac:dyDescent="0.15">
      <c r="A1732" s="250"/>
      <c r="B1732" s="66" t="s">
        <v>33</v>
      </c>
      <c r="C1732" s="67">
        <v>69</v>
      </c>
      <c r="D1732" s="68">
        <f>QUOTIENT(13648840956960,1000000)</f>
        <v>13648840</v>
      </c>
      <c r="E1732" s="68">
        <f>QUOTIENT(3488652340290,1000000)</f>
        <v>3488652</v>
      </c>
      <c r="F1732" s="69">
        <f>QUOTIENT(3717748742220,1000000)</f>
        <v>3717748</v>
      </c>
      <c r="G1732" s="69">
        <f>QUOTIENT(6313621452790,1000000)</f>
        <v>6313621</v>
      </c>
      <c r="H1732" s="70">
        <f>QUOTIENT(128818421660,1000000)</f>
        <v>128818</v>
      </c>
    </row>
    <row r="1733" spans="1:8" ht="21.75" customHeight="1" x14ac:dyDescent="0.15">
      <c r="A1733" s="250"/>
      <c r="B1733" s="76" t="s">
        <v>32</v>
      </c>
      <c r="C1733" s="67">
        <v>192</v>
      </c>
      <c r="D1733" s="68">
        <f>QUOTIENT(53290191584733,1000000)</f>
        <v>53290191</v>
      </c>
      <c r="E1733" s="68">
        <f>QUOTIENT(3963510644211,1000000)</f>
        <v>3963510</v>
      </c>
      <c r="F1733" s="69">
        <f>QUOTIENT(1361835839563,1000000)</f>
        <v>1361835</v>
      </c>
      <c r="G1733" s="69">
        <f>QUOTIENT(47826756781571,1000000)</f>
        <v>47826756</v>
      </c>
      <c r="H1733" s="70">
        <f>QUOTIENT(138088319388,1000000)</f>
        <v>138088</v>
      </c>
    </row>
    <row r="1734" spans="1:8" ht="21.75" customHeight="1" x14ac:dyDescent="0.15">
      <c r="A1734" s="251"/>
      <c r="B1734" s="77" t="s">
        <v>31</v>
      </c>
      <c r="C1734" s="72">
        <v>44</v>
      </c>
      <c r="D1734" s="73">
        <f>QUOTIENT(426715724796,1000000)</f>
        <v>426715</v>
      </c>
      <c r="E1734" s="73">
        <f>QUOTIENT(358829345887,1000000)</f>
        <v>358829</v>
      </c>
      <c r="F1734" s="74">
        <f>QUOTIENT(3621728262,1000000)</f>
        <v>3621</v>
      </c>
      <c r="G1734" s="74">
        <f>QUOTIENT(51112611384,1000000)</f>
        <v>51112</v>
      </c>
      <c r="H1734" s="75">
        <f>QUOTIENT(13152039263,1000000)</f>
        <v>13152</v>
      </c>
    </row>
    <row r="1735" spans="1:8" ht="21.75" customHeight="1" x14ac:dyDescent="0.15">
      <c r="A1735" s="30" t="s">
        <v>30</v>
      </c>
      <c r="B1735" s="78" t="s">
        <v>29</v>
      </c>
      <c r="C1735" s="79">
        <v>28</v>
      </c>
      <c r="D1735" s="80">
        <f>QUOTIENT(106493547338,1000000)</f>
        <v>106493</v>
      </c>
      <c r="E1735" s="80">
        <f>QUOTIENT(94812530343,1000000)</f>
        <v>94812</v>
      </c>
      <c r="F1735" s="81">
        <f>QUOTIENT(613568920,1000000)</f>
        <v>613</v>
      </c>
      <c r="G1735" s="81">
        <f>QUOTIENT(332116920,1000000)</f>
        <v>332</v>
      </c>
      <c r="H1735" s="82">
        <f>QUOTIENT(10735331155,1000000)</f>
        <v>10735</v>
      </c>
    </row>
    <row r="1736" spans="1:8" ht="21.75" customHeight="1" x14ac:dyDescent="0.15">
      <c r="A1736" s="252" t="s">
        <v>28</v>
      </c>
      <c r="B1736" s="17" t="s">
        <v>27</v>
      </c>
      <c r="C1736" s="16">
        <v>3276</v>
      </c>
      <c r="D1736" s="83">
        <f>QUOTIENT(62971527070000,1000000)</f>
        <v>62971527</v>
      </c>
      <c r="E1736" s="83">
        <f>QUOTIENT(9613863820000,1000000)</f>
        <v>9613863</v>
      </c>
      <c r="F1736" s="84">
        <f>QUOTIENT(26422734380000,1000000)</f>
        <v>26422734</v>
      </c>
      <c r="G1736" s="84">
        <f>QUOTIENT(26778210240000,1000000)</f>
        <v>26778210</v>
      </c>
      <c r="H1736" s="85">
        <f>QUOTIENT(156718630000,1000000)</f>
        <v>156718</v>
      </c>
    </row>
    <row r="1737" spans="1:8" ht="21.75" customHeight="1" x14ac:dyDescent="0.15">
      <c r="A1737" s="250"/>
      <c r="B1737" s="23" t="s">
        <v>26</v>
      </c>
      <c r="C1737" s="22">
        <v>3481</v>
      </c>
      <c r="D1737" s="86">
        <f>QUOTIENT(14972452856000,1000000)</f>
        <v>14972452</v>
      </c>
      <c r="E1737" s="86">
        <f>QUOTIENT(583445030000,1000000)</f>
        <v>583445</v>
      </c>
      <c r="F1737" s="87">
        <f>QUOTIENT(9363067151000,1000000)</f>
        <v>9363067</v>
      </c>
      <c r="G1737" s="87">
        <f>QUOTIENT(5015093675000,1000000)</f>
        <v>5015093</v>
      </c>
      <c r="H1737" s="88">
        <f>QUOTIENT(10847000000,1000000)</f>
        <v>10847</v>
      </c>
    </row>
    <row r="1738" spans="1:8" ht="21.75" customHeight="1" x14ac:dyDescent="0.15">
      <c r="A1738" s="250"/>
      <c r="B1738" s="24" t="s">
        <v>25</v>
      </c>
      <c r="C1738" s="22">
        <v>617</v>
      </c>
      <c r="D1738" s="86">
        <f>QUOTIENT(26463160000000,1000000)</f>
        <v>26463160</v>
      </c>
      <c r="E1738" s="86">
        <f>QUOTIENT(1977307800000,1000000)</f>
        <v>1977307</v>
      </c>
      <c r="F1738" s="87">
        <f>QUOTIENT(12508148200000,1000000)</f>
        <v>12508148</v>
      </c>
      <c r="G1738" s="87">
        <f>QUOTIENT(11886110000000,1000000)</f>
        <v>11886110</v>
      </c>
      <c r="H1738" s="88">
        <f>QUOTIENT(91594000000,1000000)</f>
        <v>91594</v>
      </c>
    </row>
    <row r="1739" spans="1:8" ht="21.75" customHeight="1" x14ac:dyDescent="0.15">
      <c r="A1739" s="250"/>
      <c r="B1739" s="23" t="s">
        <v>24</v>
      </c>
      <c r="C1739" s="22">
        <v>1992</v>
      </c>
      <c r="D1739" s="86">
        <f>QUOTIENT(57069700000000,1000000)</f>
        <v>57069700</v>
      </c>
      <c r="E1739" s="86">
        <f>QUOTIENT(6330573300000,1000000)</f>
        <v>6330573</v>
      </c>
      <c r="F1739" s="87">
        <f>QUOTIENT(18670021400000,1000000)</f>
        <v>18670021</v>
      </c>
      <c r="G1739" s="87">
        <f>QUOTIENT(32066755300000,1000000)</f>
        <v>32066755</v>
      </c>
      <c r="H1739" s="88">
        <f>QUOTIENT(2350000000,1000000)</f>
        <v>2350</v>
      </c>
    </row>
    <row r="1740" spans="1:8" ht="21.75" customHeight="1" x14ac:dyDescent="0.15">
      <c r="A1740" s="250"/>
      <c r="B1740" s="23" t="s">
        <v>23</v>
      </c>
      <c r="C1740" s="22">
        <v>434</v>
      </c>
      <c r="D1740" s="86">
        <f>QUOTIENT(4839232000000,1000000)</f>
        <v>4839232</v>
      </c>
      <c r="E1740" s="86">
        <f>QUOTIENT(379363600000,1000000)</f>
        <v>379363</v>
      </c>
      <c r="F1740" s="87">
        <f>QUOTIENT(92522100000,1000000)</f>
        <v>92522</v>
      </c>
      <c r="G1740" s="87">
        <f>QUOTIENT(4367346300000,1000000)</f>
        <v>4367346</v>
      </c>
      <c r="H1740" s="88">
        <f>QUOTIENT(0,1000000)</f>
        <v>0</v>
      </c>
    </row>
    <row r="1741" spans="1:8" ht="21.75" customHeight="1" x14ac:dyDescent="0.15">
      <c r="A1741" s="250"/>
      <c r="B1741" s="23" t="s">
        <v>22</v>
      </c>
      <c r="C1741" s="22">
        <v>148</v>
      </c>
      <c r="D1741" s="86">
        <f>QUOTIENT(1243300000000,1000000)</f>
        <v>1243300</v>
      </c>
      <c r="E1741" s="86">
        <f>QUOTIENT(289170000000,1000000)</f>
        <v>289170</v>
      </c>
      <c r="F1741" s="87">
        <f>QUOTIENT(412900000000,1000000)</f>
        <v>412900</v>
      </c>
      <c r="G1741" s="87">
        <f>QUOTIENT(541230000000,1000000)</f>
        <v>541230</v>
      </c>
      <c r="H1741" s="88">
        <f>QUOTIENT(0,1000000)</f>
        <v>0</v>
      </c>
    </row>
    <row r="1742" spans="1:8" ht="21.75" customHeight="1" x14ac:dyDescent="0.15">
      <c r="A1742" s="250"/>
      <c r="B1742" s="23" t="s">
        <v>21</v>
      </c>
      <c r="C1742" s="22">
        <v>24</v>
      </c>
      <c r="D1742" s="86">
        <f>QUOTIENT(165302000000,1000000)</f>
        <v>165302</v>
      </c>
      <c r="E1742" s="86">
        <f>QUOTIENT(114478000000,1000000)</f>
        <v>114478</v>
      </c>
      <c r="F1742" s="87">
        <f>QUOTIENT(29798000000,1000000)</f>
        <v>29798</v>
      </c>
      <c r="G1742" s="87">
        <f>QUOTIENT(21026000000,1000000)</f>
        <v>21026</v>
      </c>
      <c r="H1742" s="88">
        <f>QUOTIENT(0,1000000)</f>
        <v>0</v>
      </c>
    </row>
    <row r="1743" spans="1:8" ht="21.75" customHeight="1" x14ac:dyDescent="0.15">
      <c r="A1743" s="250"/>
      <c r="B1743" s="23" t="s">
        <v>20</v>
      </c>
      <c r="C1743" s="22">
        <v>0</v>
      </c>
      <c r="D1743" s="86">
        <f>QUOTIENT(0,1000000)</f>
        <v>0</v>
      </c>
      <c r="E1743" s="86">
        <f>QUOTIENT(0,1000000)</f>
        <v>0</v>
      </c>
      <c r="F1743" s="87">
        <f>QUOTIENT(0,1000000)</f>
        <v>0</v>
      </c>
      <c r="G1743" s="87">
        <f>QUOTIENT(0,1000000)</f>
        <v>0</v>
      </c>
      <c r="H1743" s="88">
        <f>QUOTIENT(0,1000000)</f>
        <v>0</v>
      </c>
    </row>
    <row r="1744" spans="1:8" ht="21.75" customHeight="1" x14ac:dyDescent="0.15">
      <c r="A1744" s="250"/>
      <c r="B1744" s="23" t="s">
        <v>19</v>
      </c>
      <c r="C1744" s="22">
        <v>226</v>
      </c>
      <c r="D1744" s="86">
        <f>QUOTIENT(6194460000000,1000000)</f>
        <v>6194460</v>
      </c>
      <c r="E1744" s="86">
        <f>QUOTIENT(534140000000,1000000)</f>
        <v>534140</v>
      </c>
      <c r="F1744" s="87">
        <f>QUOTIENT(3077730000000,1000000)</f>
        <v>3077730</v>
      </c>
      <c r="G1744" s="87">
        <f>QUOTIENT(2450370000000,1000000)</f>
        <v>2450370</v>
      </c>
      <c r="H1744" s="88">
        <f>QUOTIENT(132220000000,1000000)</f>
        <v>132220</v>
      </c>
    </row>
    <row r="1745" spans="1:8" ht="21.75" customHeight="1" x14ac:dyDescent="0.15">
      <c r="A1745" s="250"/>
      <c r="B1745" s="23" t="s">
        <v>18</v>
      </c>
      <c r="C1745" s="22">
        <v>3758</v>
      </c>
      <c r="D1745" s="86">
        <f>QUOTIENT(73989159500000,1000000)</f>
        <v>73989159</v>
      </c>
      <c r="E1745" s="86">
        <f>QUOTIENT(17662925900000,1000000)</f>
        <v>17662925</v>
      </c>
      <c r="F1745" s="87">
        <f>QUOTIENT(27356439100000,1000000)</f>
        <v>27356439</v>
      </c>
      <c r="G1745" s="87">
        <f>QUOTIENT(28423559700000,1000000)</f>
        <v>28423559</v>
      </c>
      <c r="H1745" s="88">
        <f>QUOTIENT(546234800000,1000000)</f>
        <v>546234</v>
      </c>
    </row>
    <row r="1746" spans="1:8" ht="21.75" customHeight="1" x14ac:dyDescent="0.15">
      <c r="A1746" s="250"/>
      <c r="B1746" s="23" t="s">
        <v>17</v>
      </c>
      <c r="C1746" s="22">
        <v>646</v>
      </c>
      <c r="D1746" s="86">
        <f>QUOTIENT(14961560000000,1000000)</f>
        <v>14961560</v>
      </c>
      <c r="E1746" s="86">
        <f>QUOTIENT(3290919500000,1000000)</f>
        <v>3290919</v>
      </c>
      <c r="F1746" s="87">
        <f>QUOTIENT(6004106300000,1000000)</f>
        <v>6004106</v>
      </c>
      <c r="G1746" s="87">
        <f>QUOTIENT(5626055400000,1000000)</f>
        <v>5626055</v>
      </c>
      <c r="H1746" s="88">
        <f>QUOTIENT(40478800000,1000000)</f>
        <v>40478</v>
      </c>
    </row>
    <row r="1747" spans="1:8" ht="21.75" customHeight="1" x14ac:dyDescent="0.15">
      <c r="A1747" s="250"/>
      <c r="B1747" s="23" t="s">
        <v>16</v>
      </c>
      <c r="C1747" s="22">
        <v>61895</v>
      </c>
      <c r="D1747" s="86">
        <f>QUOTIENT(16964104327000,1000000)</f>
        <v>16964104</v>
      </c>
      <c r="E1747" s="86">
        <f>QUOTIENT(4721624349000,1000000)</f>
        <v>4721624</v>
      </c>
      <c r="F1747" s="87">
        <f>QUOTIENT(5245270334000,1000000)</f>
        <v>5245270</v>
      </c>
      <c r="G1747" s="87">
        <f>QUOTIENT(6978209644000,1000000)</f>
        <v>6978209</v>
      </c>
      <c r="H1747" s="88">
        <f>QUOTIENT(19000000000,1000000)</f>
        <v>19000</v>
      </c>
    </row>
    <row r="1748" spans="1:8" ht="21.75" customHeight="1" x14ac:dyDescent="0.15">
      <c r="A1748" s="250"/>
      <c r="B1748" s="23" t="s">
        <v>15</v>
      </c>
      <c r="C1748" s="22">
        <v>665</v>
      </c>
      <c r="D1748" s="86">
        <f>QUOTIENT(4512062005000,1000000)</f>
        <v>4512062</v>
      </c>
      <c r="E1748" s="86">
        <f>QUOTIENT(3803568749000,1000000)</f>
        <v>3803568</v>
      </c>
      <c r="F1748" s="87">
        <f>QUOTIENT(569255302000,1000000)</f>
        <v>569255</v>
      </c>
      <c r="G1748" s="87">
        <f>QUOTIENT(139237954000,1000000)</f>
        <v>139237</v>
      </c>
      <c r="H1748" s="88">
        <f>QUOTIENT(0,1000000)</f>
        <v>0</v>
      </c>
    </row>
    <row r="1749" spans="1:8" ht="21.75" customHeight="1" x14ac:dyDescent="0.15">
      <c r="A1749" s="250"/>
      <c r="B1749" s="23" t="s">
        <v>14</v>
      </c>
      <c r="C1749" s="22">
        <v>40</v>
      </c>
      <c r="D1749" s="86">
        <f>QUOTIENT(215700000000,1000000)</f>
        <v>215700</v>
      </c>
      <c r="E1749" s="86">
        <f>QUOTIENT(100892000000,1000000)</f>
        <v>100892</v>
      </c>
      <c r="F1749" s="87">
        <f>QUOTIENT(44300000000,1000000)</f>
        <v>44300</v>
      </c>
      <c r="G1749" s="87">
        <f>QUOTIENT(70506000000,1000000)</f>
        <v>70506</v>
      </c>
      <c r="H1749" s="88">
        <f>QUOTIENT(2000000,1000000)</f>
        <v>2</v>
      </c>
    </row>
    <row r="1750" spans="1:8" ht="21.75" customHeight="1" x14ac:dyDescent="0.15">
      <c r="A1750" s="250"/>
      <c r="B1750" s="23" t="s">
        <v>13</v>
      </c>
      <c r="C1750" s="22">
        <v>573</v>
      </c>
      <c r="D1750" s="86">
        <f>QUOTIENT(2681838349000,1000000)</f>
        <v>2681838</v>
      </c>
      <c r="E1750" s="86">
        <f>QUOTIENT(215877442000,1000000)</f>
        <v>215877</v>
      </c>
      <c r="F1750" s="87">
        <f>QUOTIENT(1403679907000,1000000)</f>
        <v>1403679</v>
      </c>
      <c r="G1750" s="87">
        <f>QUOTIENT(1062281000000,1000000)</f>
        <v>1062281</v>
      </c>
      <c r="H1750" s="88">
        <f>QUOTIENT(0,1000000)</f>
        <v>0</v>
      </c>
    </row>
    <row r="1751" spans="1:8" ht="21.75" customHeight="1" x14ac:dyDescent="0.15">
      <c r="A1751" s="250"/>
      <c r="B1751" s="23" t="s">
        <v>12</v>
      </c>
      <c r="C1751" s="22">
        <v>267</v>
      </c>
      <c r="D1751" s="86">
        <f>QUOTIENT(7321900000000,1000000)</f>
        <v>7321900</v>
      </c>
      <c r="E1751" s="86">
        <f>QUOTIENT(899400000000,1000000)</f>
        <v>899400</v>
      </c>
      <c r="F1751" s="87">
        <f>QUOTIENT(2425830000000,1000000)</f>
        <v>2425830</v>
      </c>
      <c r="G1751" s="87">
        <f>QUOTIENT(3955270000000,1000000)</f>
        <v>3955270</v>
      </c>
      <c r="H1751" s="88">
        <f>QUOTIENT(41400000000,1000000)</f>
        <v>41400</v>
      </c>
    </row>
    <row r="1752" spans="1:8" ht="21.75" customHeight="1" x14ac:dyDescent="0.15">
      <c r="A1752" s="250"/>
      <c r="B1752" s="23" t="s">
        <v>11</v>
      </c>
      <c r="C1752" s="22">
        <v>79</v>
      </c>
      <c r="D1752" s="86">
        <f>QUOTIENT(1728350000000,1000000)</f>
        <v>1728350</v>
      </c>
      <c r="E1752" s="86">
        <f>QUOTIENT(168700000000,1000000)</f>
        <v>168700</v>
      </c>
      <c r="F1752" s="87">
        <f>QUOTIENT(767850000000,1000000)</f>
        <v>767850</v>
      </c>
      <c r="G1752" s="87">
        <f>QUOTIENT(791800000000,1000000)</f>
        <v>791800</v>
      </c>
      <c r="H1752" s="88">
        <f>QUOTIENT(0,1000000)</f>
        <v>0</v>
      </c>
    </row>
    <row r="1753" spans="1:8" ht="21.75" customHeight="1" x14ac:dyDescent="0.15">
      <c r="A1753" s="250"/>
      <c r="B1753" s="23" t="s">
        <v>10</v>
      </c>
      <c r="C1753" s="22">
        <v>0</v>
      </c>
      <c r="D1753" s="86">
        <f t="shared" ref="D1753:G1755" si="44">QUOTIENT(0,1000000)</f>
        <v>0</v>
      </c>
      <c r="E1753" s="86">
        <f t="shared" si="44"/>
        <v>0</v>
      </c>
      <c r="F1753" s="87">
        <f t="shared" si="44"/>
        <v>0</v>
      </c>
      <c r="G1753" s="87">
        <f t="shared" si="44"/>
        <v>0</v>
      </c>
      <c r="H1753" s="88">
        <f>QUOTIENT(0,1000000)</f>
        <v>0</v>
      </c>
    </row>
    <row r="1754" spans="1:8" ht="21.75" customHeight="1" x14ac:dyDescent="0.15">
      <c r="A1754" s="250"/>
      <c r="B1754" s="23" t="s">
        <v>9</v>
      </c>
      <c r="C1754" s="22">
        <v>0</v>
      </c>
      <c r="D1754" s="86">
        <f t="shared" si="44"/>
        <v>0</v>
      </c>
      <c r="E1754" s="86">
        <f t="shared" si="44"/>
        <v>0</v>
      </c>
      <c r="F1754" s="87">
        <f t="shared" si="44"/>
        <v>0</v>
      </c>
      <c r="G1754" s="87">
        <f t="shared" si="44"/>
        <v>0</v>
      </c>
      <c r="H1754" s="88">
        <f>QUOTIENT(0,1000000)</f>
        <v>0</v>
      </c>
    </row>
    <row r="1755" spans="1:8" ht="21.75" customHeight="1" x14ac:dyDescent="0.15">
      <c r="A1755" s="250"/>
      <c r="B1755" s="23" t="s">
        <v>8</v>
      </c>
      <c r="C1755" s="22">
        <v>0</v>
      </c>
      <c r="D1755" s="86">
        <f t="shared" si="44"/>
        <v>0</v>
      </c>
      <c r="E1755" s="86">
        <f t="shared" si="44"/>
        <v>0</v>
      </c>
      <c r="F1755" s="87">
        <f t="shared" si="44"/>
        <v>0</v>
      </c>
      <c r="G1755" s="87">
        <f t="shared" si="44"/>
        <v>0</v>
      </c>
      <c r="H1755" s="88">
        <f>QUOTIENT(0,1000000)</f>
        <v>0</v>
      </c>
    </row>
    <row r="1756" spans="1:8" ht="21.75" customHeight="1" x14ac:dyDescent="0.15">
      <c r="A1756" s="251"/>
      <c r="B1756" s="23" t="s">
        <v>7</v>
      </c>
      <c r="C1756" s="22">
        <v>31</v>
      </c>
      <c r="D1756" s="86">
        <f>QUOTIENT(17111900000,1000000)</f>
        <v>17111</v>
      </c>
      <c r="E1756" s="86">
        <f>QUOTIENT(466900000,1000000)</f>
        <v>466</v>
      </c>
      <c r="F1756" s="87">
        <f>QUOTIENT(14000000000,1000000)</f>
        <v>14000</v>
      </c>
      <c r="G1756" s="87">
        <f>QUOTIENT(2645000000,1000000)</f>
        <v>2645</v>
      </c>
      <c r="H1756" s="88">
        <f>QUOTIENT(0,1000000)</f>
        <v>0</v>
      </c>
    </row>
    <row r="1757" spans="1:8" ht="21.75" customHeight="1" x14ac:dyDescent="0.15">
      <c r="A1757" s="18" t="s">
        <v>6</v>
      </c>
      <c r="B1757" s="17" t="s">
        <v>5</v>
      </c>
      <c r="C1757" s="16">
        <v>3417</v>
      </c>
      <c r="D1757" s="80">
        <v>24426556</v>
      </c>
      <c r="E1757" s="80">
        <v>924600</v>
      </c>
      <c r="F1757" s="81">
        <v>13778430</v>
      </c>
      <c r="G1757" s="81">
        <v>7941326</v>
      </c>
      <c r="H1757" s="82">
        <v>1782200</v>
      </c>
    </row>
    <row r="1758" spans="1:8" ht="21.75" customHeight="1" x14ac:dyDescent="0.15">
      <c r="A1758" s="252" t="s">
        <v>4</v>
      </c>
      <c r="B1758" s="12" t="s">
        <v>3</v>
      </c>
      <c r="C1758" s="11">
        <v>5730</v>
      </c>
      <c r="D1758" s="89">
        <v>82730977</v>
      </c>
      <c r="E1758" s="89">
        <v>51546387</v>
      </c>
      <c r="F1758" s="90">
        <v>14283242</v>
      </c>
      <c r="G1758" s="90">
        <v>10776095</v>
      </c>
      <c r="H1758" s="91">
        <v>6125251</v>
      </c>
    </row>
    <row r="1759" spans="1:8" ht="21.75" customHeight="1" thickBot="1" x14ac:dyDescent="0.2">
      <c r="A1759" s="253"/>
      <c r="B1759" s="7" t="s">
        <v>1153</v>
      </c>
      <c r="C1759" s="6">
        <v>7413</v>
      </c>
      <c r="D1759" s="92" t="s">
        <v>2469</v>
      </c>
      <c r="E1759" s="92" t="s">
        <v>2469</v>
      </c>
      <c r="F1759" s="92" t="s">
        <v>2469</v>
      </c>
      <c r="G1759" s="92" t="s">
        <v>2469</v>
      </c>
      <c r="H1759" s="93" t="s">
        <v>2469</v>
      </c>
    </row>
    <row r="1760" spans="1:8" ht="18" customHeight="1" x14ac:dyDescent="0.15">
      <c r="A1760" s="3" t="s">
        <v>1155</v>
      </c>
      <c r="B1760" s="2"/>
      <c r="C1760" s="2"/>
      <c r="D1760" s="2"/>
      <c r="E1760" s="2"/>
      <c r="F1760" s="2"/>
      <c r="G1760" s="2"/>
      <c r="H1760" s="2"/>
    </row>
    <row r="1761" spans="1:8" ht="18" customHeight="1" x14ac:dyDescent="0.15">
      <c r="A1761" s="3" t="s">
        <v>2587</v>
      </c>
      <c r="B1761" s="2"/>
      <c r="C1761" s="2"/>
      <c r="D1761" s="2"/>
      <c r="E1761" s="2"/>
      <c r="F1761" s="2"/>
      <c r="G1761" s="2"/>
      <c r="H1761" s="2"/>
    </row>
    <row r="1762" spans="1:8" ht="18" customHeight="1" x14ac:dyDescent="0.15">
      <c r="A1762" s="3" t="s">
        <v>1156</v>
      </c>
      <c r="B1762" s="2"/>
      <c r="C1762" s="2"/>
      <c r="D1762" s="2"/>
      <c r="E1762" s="2"/>
      <c r="F1762" s="2"/>
      <c r="G1762" s="2"/>
      <c r="H1762" s="2"/>
    </row>
    <row r="1763" spans="1:8" ht="18" customHeight="1" x14ac:dyDescent="0.15">
      <c r="A1763" s="3" t="s">
        <v>2470</v>
      </c>
      <c r="B1763" s="2"/>
      <c r="C1763" s="2"/>
      <c r="D1763" s="2"/>
      <c r="E1763" s="2"/>
      <c r="F1763" s="2"/>
      <c r="G1763" s="2"/>
      <c r="H1763" s="2"/>
    </row>
    <row r="1764" spans="1:8" ht="12" x14ac:dyDescent="0.15">
      <c r="A1764" s="3" t="s">
        <v>2471</v>
      </c>
      <c r="B1764" s="2"/>
      <c r="C1764" s="2"/>
      <c r="D1764" s="2"/>
      <c r="E1764" s="2"/>
      <c r="F1764" s="2"/>
      <c r="G1764" s="2"/>
      <c r="H1764" s="2"/>
    </row>
    <row r="1765" spans="1:8" ht="24" customHeight="1" x14ac:dyDescent="0.15">
      <c r="A1765" s="230" t="s">
        <v>2466</v>
      </c>
      <c r="B1765" s="230"/>
      <c r="C1765" s="230"/>
      <c r="D1765" s="230"/>
      <c r="E1765" s="230"/>
      <c r="F1765" s="230"/>
      <c r="G1765" s="230"/>
      <c r="H1765" s="230"/>
    </row>
    <row r="1766" spans="1:8" ht="17.25" x14ac:dyDescent="0.15">
      <c r="A1766" s="231"/>
      <c r="B1766" s="231"/>
      <c r="C1766" s="231"/>
      <c r="D1766" s="231"/>
      <c r="E1766" s="231"/>
      <c r="F1766" s="231"/>
      <c r="G1766" s="231"/>
      <c r="H1766" s="231"/>
    </row>
    <row r="1767" spans="1:8" ht="18" customHeight="1" thickBot="1" x14ac:dyDescent="0.2">
      <c r="A1767" s="58" t="s">
        <v>48</v>
      </c>
    </row>
    <row r="1768" spans="1:8" ht="18" customHeight="1" x14ac:dyDescent="0.15">
      <c r="A1768" s="232" t="s">
        <v>47</v>
      </c>
      <c r="B1768" s="235" t="s">
        <v>46</v>
      </c>
      <c r="C1768" s="238" t="s">
        <v>45</v>
      </c>
      <c r="D1768" s="241" t="s">
        <v>44</v>
      </c>
      <c r="E1768" s="57"/>
      <c r="F1768" s="56"/>
      <c r="G1768" s="56"/>
      <c r="H1768" s="55"/>
    </row>
    <row r="1769" spans="1:8" ht="18" customHeight="1" x14ac:dyDescent="0.15">
      <c r="A1769" s="233"/>
      <c r="B1769" s="236"/>
      <c r="C1769" s="239"/>
      <c r="D1769" s="242"/>
      <c r="E1769" s="244" t="s">
        <v>43</v>
      </c>
      <c r="F1769" s="246" t="s">
        <v>42</v>
      </c>
      <c r="G1769" s="246" t="s">
        <v>41</v>
      </c>
      <c r="H1769" s="248" t="s">
        <v>40</v>
      </c>
    </row>
    <row r="1770" spans="1:8" s="60" customFormat="1" ht="18" customHeight="1" thickBot="1" x14ac:dyDescent="0.2">
      <c r="A1770" s="234"/>
      <c r="B1770" s="237"/>
      <c r="C1770" s="240"/>
      <c r="D1770" s="243"/>
      <c r="E1770" s="245"/>
      <c r="F1770" s="247"/>
      <c r="G1770" s="247"/>
      <c r="H1770" s="249"/>
    </row>
    <row r="1771" spans="1:8" ht="21.75" customHeight="1" thickTop="1" x14ac:dyDescent="0.15">
      <c r="A1771" s="54"/>
      <c r="B1771" s="53"/>
      <c r="C1771" s="52"/>
      <c r="D1771" s="51" t="s">
        <v>39</v>
      </c>
      <c r="E1771" s="50" t="s">
        <v>39</v>
      </c>
      <c r="F1771" s="49" t="s">
        <v>39</v>
      </c>
      <c r="G1771" s="49" t="s">
        <v>39</v>
      </c>
      <c r="H1771" s="48" t="s">
        <v>39</v>
      </c>
    </row>
    <row r="1772" spans="1:8" ht="21.75" customHeight="1" x14ac:dyDescent="0.15">
      <c r="A1772" s="250" t="s">
        <v>38</v>
      </c>
      <c r="B1772" s="61" t="s">
        <v>37</v>
      </c>
      <c r="C1772" s="62">
        <v>3837</v>
      </c>
      <c r="D1772" s="63">
        <f>QUOTIENT(629146519346612,1000000)</f>
        <v>629146519</v>
      </c>
      <c r="E1772" s="63">
        <f>QUOTIENT(237773439555089,1000000)</f>
        <v>237773439</v>
      </c>
      <c r="F1772" s="64">
        <f>QUOTIENT(191087401389434,1000000)</f>
        <v>191087401</v>
      </c>
      <c r="G1772" s="64">
        <f>QUOTIENT(196879473273375,1000000)</f>
        <v>196879473</v>
      </c>
      <c r="H1772" s="65">
        <f>QUOTIENT(3406205128713,1000000)</f>
        <v>3406205</v>
      </c>
    </row>
    <row r="1773" spans="1:8" ht="21.75" customHeight="1" x14ac:dyDescent="0.15">
      <c r="A1773" s="250"/>
      <c r="B1773" s="66" t="s">
        <v>36</v>
      </c>
      <c r="C1773" s="67">
        <v>25</v>
      </c>
      <c r="D1773" s="68">
        <f>QUOTIENT(181768430000,1000000)</f>
        <v>181768</v>
      </c>
      <c r="E1773" s="68">
        <f>QUOTIENT(48564928000,1000000)</f>
        <v>48564</v>
      </c>
      <c r="F1773" s="69">
        <f>QUOTIENT(122812398500,1000000)</f>
        <v>122812</v>
      </c>
      <c r="G1773" s="69">
        <f>QUOTIENT(10391103500,1000000)</f>
        <v>10391</v>
      </c>
      <c r="H1773" s="70">
        <f>QUOTIENT(0,1000000)</f>
        <v>0</v>
      </c>
    </row>
    <row r="1774" spans="1:8" ht="21.75" customHeight="1" x14ac:dyDescent="0.15">
      <c r="A1774" s="250"/>
      <c r="B1774" s="66" t="s">
        <v>35</v>
      </c>
      <c r="C1774" s="67">
        <v>90</v>
      </c>
      <c r="D1774" s="68">
        <f>QUOTIENT(0,1000000)</f>
        <v>0</v>
      </c>
      <c r="E1774" s="68">
        <f>QUOTIENT(0,1000000)</f>
        <v>0</v>
      </c>
      <c r="F1774" s="69">
        <f>QUOTIENT(0,1000000)</f>
        <v>0</v>
      </c>
      <c r="G1774" s="69">
        <f>QUOTIENT(0,1000000)</f>
        <v>0</v>
      </c>
      <c r="H1774" s="70">
        <f>QUOTIENT(0,1000000)</f>
        <v>0</v>
      </c>
    </row>
    <row r="1775" spans="1:8" ht="21.75" customHeight="1" x14ac:dyDescent="0.15">
      <c r="A1775" s="250"/>
      <c r="B1775" s="71" t="s">
        <v>34</v>
      </c>
      <c r="C1775" s="72">
        <v>1</v>
      </c>
      <c r="D1775" s="73">
        <f>QUOTIENT(164236681800,1000000)</f>
        <v>164236</v>
      </c>
      <c r="E1775" s="73">
        <f>QUOTIENT(124006901700,1000000)</f>
        <v>124006</v>
      </c>
      <c r="F1775" s="74">
        <f>QUOTIENT(8045538600,1000000)</f>
        <v>8045</v>
      </c>
      <c r="G1775" s="74">
        <f>QUOTIENT(30537055800,1000000)</f>
        <v>30537</v>
      </c>
      <c r="H1775" s="75">
        <f>QUOTIENT(1647185700,1000000)</f>
        <v>1647</v>
      </c>
    </row>
    <row r="1776" spans="1:8" ht="21.75" customHeight="1" x14ac:dyDescent="0.15">
      <c r="A1776" s="250"/>
      <c r="B1776" s="66" t="s">
        <v>33</v>
      </c>
      <c r="C1776" s="67">
        <v>69</v>
      </c>
      <c r="D1776" s="68">
        <f>QUOTIENT(13217919319840,1000000)</f>
        <v>13217919</v>
      </c>
      <c r="E1776" s="68">
        <f>QUOTIENT(3407509428670,1000000)</f>
        <v>3407509</v>
      </c>
      <c r="F1776" s="69">
        <f>QUOTIENT(3680284496620,1000000)</f>
        <v>3680284</v>
      </c>
      <c r="G1776" s="69">
        <f>QUOTIENT(6064248081340,1000000)</f>
        <v>6064248</v>
      </c>
      <c r="H1776" s="70">
        <f>QUOTIENT(65877313210,1000000)</f>
        <v>65877</v>
      </c>
    </row>
    <row r="1777" spans="1:8" ht="21.75" customHeight="1" x14ac:dyDescent="0.15">
      <c r="A1777" s="250"/>
      <c r="B1777" s="76" t="s">
        <v>32</v>
      </c>
      <c r="C1777" s="67">
        <v>190</v>
      </c>
      <c r="D1777" s="68">
        <f>QUOTIENT(47120063208426,1000000)</f>
        <v>47120063</v>
      </c>
      <c r="E1777" s="68">
        <f>QUOTIENT(3798537396973,1000000)</f>
        <v>3798537</v>
      </c>
      <c r="F1777" s="69">
        <f>QUOTIENT(1194832287557,1000000)</f>
        <v>1194832</v>
      </c>
      <c r="G1777" s="69">
        <f>QUOTIENT(42078234307211,1000000)</f>
        <v>42078234</v>
      </c>
      <c r="H1777" s="70">
        <f>QUOTIENT(48459216685,1000000)</f>
        <v>48459</v>
      </c>
    </row>
    <row r="1778" spans="1:8" ht="21.75" customHeight="1" x14ac:dyDescent="0.15">
      <c r="A1778" s="251"/>
      <c r="B1778" s="77" t="s">
        <v>31</v>
      </c>
      <c r="C1778" s="72">
        <v>41</v>
      </c>
      <c r="D1778" s="73">
        <f>QUOTIENT(395128690809,1000000)</f>
        <v>395128</v>
      </c>
      <c r="E1778" s="73">
        <f>QUOTIENT(338531755509,1000000)</f>
        <v>338531</v>
      </c>
      <c r="F1778" s="74">
        <f>QUOTIENT(1855682654,1000000)</f>
        <v>1855</v>
      </c>
      <c r="G1778" s="74">
        <f>QUOTIENT(53622109304,1000000)</f>
        <v>53622</v>
      </c>
      <c r="H1778" s="75">
        <f>QUOTIENT(1119143342,1000000)</f>
        <v>1119</v>
      </c>
    </row>
    <row r="1779" spans="1:8" ht="21.75" customHeight="1" x14ac:dyDescent="0.15">
      <c r="A1779" s="30" t="s">
        <v>30</v>
      </c>
      <c r="B1779" s="78" t="s">
        <v>29</v>
      </c>
      <c r="C1779" s="79">
        <v>28</v>
      </c>
      <c r="D1779" s="80">
        <f>QUOTIENT(100540622028,1000000)</f>
        <v>100540</v>
      </c>
      <c r="E1779" s="80">
        <f>QUOTIENT(97248872720,1000000)</f>
        <v>97248</v>
      </c>
      <c r="F1779" s="81">
        <f>QUOTIENT(597802378,1000000)</f>
        <v>597</v>
      </c>
      <c r="G1779" s="81">
        <f>QUOTIENT(341872560,1000000)</f>
        <v>341</v>
      </c>
      <c r="H1779" s="82">
        <f>QUOTIENT(2352074370,1000000)</f>
        <v>2352</v>
      </c>
    </row>
    <row r="1780" spans="1:8" ht="21.75" customHeight="1" x14ac:dyDescent="0.15">
      <c r="A1780" s="252" t="s">
        <v>28</v>
      </c>
      <c r="B1780" s="17" t="s">
        <v>27</v>
      </c>
      <c r="C1780" s="16">
        <v>3275</v>
      </c>
      <c r="D1780" s="83">
        <f>QUOTIENT(62924227070000,1000000)</f>
        <v>62924227</v>
      </c>
      <c r="E1780" s="83">
        <f>QUOTIENT(9560928230000,1000000)</f>
        <v>9560928</v>
      </c>
      <c r="F1780" s="84">
        <f>QUOTIENT(19527792060000,1000000)</f>
        <v>19527792</v>
      </c>
      <c r="G1780" s="84">
        <f>QUOTIENT(27131814640000,1000000)</f>
        <v>27131814</v>
      </c>
      <c r="H1780" s="85">
        <f>QUOTIENT(6703692140000,1000000)</f>
        <v>6703692</v>
      </c>
    </row>
    <row r="1781" spans="1:8" ht="21.75" customHeight="1" x14ac:dyDescent="0.15">
      <c r="A1781" s="250"/>
      <c r="B1781" s="23" t="s">
        <v>26</v>
      </c>
      <c r="C1781" s="22">
        <v>3484</v>
      </c>
      <c r="D1781" s="86">
        <f>QUOTIENT(14973332337000,1000000)</f>
        <v>14973332</v>
      </c>
      <c r="E1781" s="86">
        <f>QUOTIENT(568306530000,1000000)</f>
        <v>568306</v>
      </c>
      <c r="F1781" s="87">
        <f>QUOTIENT(7870196371000,1000000)</f>
        <v>7870196</v>
      </c>
      <c r="G1781" s="87">
        <f>QUOTIENT(5069907566000,1000000)</f>
        <v>5069907</v>
      </c>
      <c r="H1781" s="88">
        <f>QUOTIENT(1464921870000,1000000)</f>
        <v>1464921</v>
      </c>
    </row>
    <row r="1782" spans="1:8" ht="21.75" customHeight="1" x14ac:dyDescent="0.15">
      <c r="A1782" s="250"/>
      <c r="B1782" s="24" t="s">
        <v>25</v>
      </c>
      <c r="C1782" s="22">
        <v>619</v>
      </c>
      <c r="D1782" s="86">
        <f>QUOTIENT(26653160000000,1000000)</f>
        <v>26653160</v>
      </c>
      <c r="E1782" s="86">
        <f>QUOTIENT(1898744500000,1000000)</f>
        <v>1898744</v>
      </c>
      <c r="F1782" s="87">
        <f>QUOTIENT(10196471400000,1000000)</f>
        <v>10196471</v>
      </c>
      <c r="G1782" s="87">
        <f>QUOTIENT(11967681500000,1000000)</f>
        <v>11967681</v>
      </c>
      <c r="H1782" s="88">
        <f>QUOTIENT(2590262600000,1000000)</f>
        <v>2590262</v>
      </c>
    </row>
    <row r="1783" spans="1:8" ht="21.75" customHeight="1" x14ac:dyDescent="0.15">
      <c r="A1783" s="250"/>
      <c r="B1783" s="23" t="s">
        <v>24</v>
      </c>
      <c r="C1783" s="22">
        <v>1976</v>
      </c>
      <c r="D1783" s="86">
        <f>QUOTIENT(56497400000000,1000000)</f>
        <v>56497400</v>
      </c>
      <c r="E1783" s="86">
        <f>QUOTIENT(6151818300000,1000000)</f>
        <v>6151818</v>
      </c>
      <c r="F1783" s="87">
        <f>QUOTIENT(14629567400000,1000000)</f>
        <v>14629567</v>
      </c>
      <c r="G1783" s="87">
        <f>QUOTIENT(31962715300000,1000000)</f>
        <v>31962715</v>
      </c>
      <c r="H1783" s="88">
        <f>QUOTIENT(3753299000000,1000000)</f>
        <v>3753299</v>
      </c>
    </row>
    <row r="1784" spans="1:8" ht="21.75" customHeight="1" x14ac:dyDescent="0.15">
      <c r="A1784" s="250"/>
      <c r="B1784" s="23" t="s">
        <v>23</v>
      </c>
      <c r="C1784" s="22">
        <v>431</v>
      </c>
      <c r="D1784" s="86">
        <f>QUOTIENT(4840232000000,1000000)</f>
        <v>4840232</v>
      </c>
      <c r="E1784" s="86">
        <f>QUOTIENT(379696600000,1000000)</f>
        <v>379696</v>
      </c>
      <c r="F1784" s="87">
        <f>QUOTIENT(59022100000,1000000)</f>
        <v>59022</v>
      </c>
      <c r="G1784" s="87">
        <f>QUOTIENT(4369663300000,1000000)</f>
        <v>4369663</v>
      </c>
      <c r="H1784" s="88">
        <f>QUOTIENT(31850000000,1000000)</f>
        <v>31850</v>
      </c>
    </row>
    <row r="1785" spans="1:8" ht="21.75" customHeight="1" x14ac:dyDescent="0.15">
      <c r="A1785" s="250"/>
      <c r="B1785" s="23" t="s">
        <v>22</v>
      </c>
      <c r="C1785" s="22">
        <v>149</v>
      </c>
      <c r="D1785" s="86">
        <f>QUOTIENT(1251300000000,1000000)</f>
        <v>1251300</v>
      </c>
      <c r="E1785" s="86">
        <f>QUOTIENT(292270000000,1000000)</f>
        <v>292270</v>
      </c>
      <c r="F1785" s="87">
        <f>QUOTIENT(112900000000,1000000)</f>
        <v>112900</v>
      </c>
      <c r="G1785" s="87">
        <f>QUOTIENT(545230000000,1000000)</f>
        <v>545230</v>
      </c>
      <c r="H1785" s="88">
        <f>QUOTIENT(300900000000,1000000)</f>
        <v>300900</v>
      </c>
    </row>
    <row r="1786" spans="1:8" ht="21.75" customHeight="1" x14ac:dyDescent="0.15">
      <c r="A1786" s="250"/>
      <c r="B1786" s="23" t="s">
        <v>21</v>
      </c>
      <c r="C1786" s="22">
        <v>24</v>
      </c>
      <c r="D1786" s="86">
        <f>QUOTIENT(165302000000,1000000)</f>
        <v>165302</v>
      </c>
      <c r="E1786" s="86">
        <f>QUOTIENT(114478000000,1000000)</f>
        <v>114478</v>
      </c>
      <c r="F1786" s="87">
        <f>QUOTIENT(7522000000,1000000)</f>
        <v>7522</v>
      </c>
      <c r="G1786" s="87">
        <f>QUOTIENT(21026000000,1000000)</f>
        <v>21026</v>
      </c>
      <c r="H1786" s="88">
        <f>QUOTIENT(22276000000,1000000)</f>
        <v>22276</v>
      </c>
    </row>
    <row r="1787" spans="1:8" ht="21.75" customHeight="1" x14ac:dyDescent="0.15">
      <c r="A1787" s="250"/>
      <c r="B1787" s="23" t="s">
        <v>20</v>
      </c>
      <c r="C1787" s="22">
        <v>0</v>
      </c>
      <c r="D1787" s="86">
        <f>QUOTIENT(0,1000000)</f>
        <v>0</v>
      </c>
      <c r="E1787" s="86">
        <f>QUOTIENT(0,1000000)</f>
        <v>0</v>
      </c>
      <c r="F1787" s="87">
        <f>QUOTIENT(0,1000000)</f>
        <v>0</v>
      </c>
      <c r="G1787" s="87">
        <f>QUOTIENT(0,1000000)</f>
        <v>0</v>
      </c>
      <c r="H1787" s="88">
        <f>QUOTIENT(0,1000000)</f>
        <v>0</v>
      </c>
    </row>
    <row r="1788" spans="1:8" ht="21.75" customHeight="1" x14ac:dyDescent="0.15">
      <c r="A1788" s="250"/>
      <c r="B1788" s="23" t="s">
        <v>19</v>
      </c>
      <c r="C1788" s="22">
        <v>227</v>
      </c>
      <c r="D1788" s="86">
        <f>QUOTIENT(6268250000000,1000000)</f>
        <v>6268250</v>
      </c>
      <c r="E1788" s="86">
        <f>QUOTIENT(530410000000,1000000)</f>
        <v>530410</v>
      </c>
      <c r="F1788" s="87">
        <f>QUOTIENT(2590780000000,1000000)</f>
        <v>2590780</v>
      </c>
      <c r="G1788" s="87">
        <f>QUOTIENT(2558630000000,1000000)</f>
        <v>2558630</v>
      </c>
      <c r="H1788" s="88">
        <f>QUOTIENT(588430000000,1000000)</f>
        <v>588430</v>
      </c>
    </row>
    <row r="1789" spans="1:8" ht="21.75" customHeight="1" x14ac:dyDescent="0.15">
      <c r="A1789" s="250"/>
      <c r="B1789" s="23" t="s">
        <v>18</v>
      </c>
      <c r="C1789" s="22">
        <v>3745</v>
      </c>
      <c r="D1789" s="86">
        <f>QUOTIENT(74177133500000,1000000)</f>
        <v>74177133</v>
      </c>
      <c r="E1789" s="86">
        <f>QUOTIENT(17666197700000,1000000)</f>
        <v>17666197</v>
      </c>
      <c r="F1789" s="87">
        <f>QUOTIENT(19380224300000,1000000)</f>
        <v>19380224</v>
      </c>
      <c r="G1789" s="87">
        <f>QUOTIENT(28857386900000,1000000)</f>
        <v>28857386</v>
      </c>
      <c r="H1789" s="88">
        <f>QUOTIENT(8273324600000,1000000)</f>
        <v>8273324</v>
      </c>
    </row>
    <row r="1790" spans="1:8" ht="21.75" customHeight="1" x14ac:dyDescent="0.15">
      <c r="A1790" s="250"/>
      <c r="B1790" s="23" t="s">
        <v>17</v>
      </c>
      <c r="C1790" s="22">
        <v>653</v>
      </c>
      <c r="D1790" s="86">
        <f>QUOTIENT(15286560000000,1000000)</f>
        <v>15286560</v>
      </c>
      <c r="E1790" s="86">
        <f>QUOTIENT(3359508300000,1000000)</f>
        <v>3359508</v>
      </c>
      <c r="F1790" s="87">
        <f>QUOTIENT(4863300700000,1000000)</f>
        <v>4863300</v>
      </c>
      <c r="G1790" s="87">
        <f>QUOTIENT(5783584600000,1000000)</f>
        <v>5783584</v>
      </c>
      <c r="H1790" s="88">
        <f>QUOTIENT(1280166400000,1000000)</f>
        <v>1280166</v>
      </c>
    </row>
    <row r="1791" spans="1:8" ht="21.75" customHeight="1" x14ac:dyDescent="0.15">
      <c r="A1791" s="250"/>
      <c r="B1791" s="23" t="s">
        <v>16</v>
      </c>
      <c r="C1791" s="22">
        <v>61803</v>
      </c>
      <c r="D1791" s="86">
        <f>QUOTIENT(16988656161000,1000000)</f>
        <v>16988656</v>
      </c>
      <c r="E1791" s="86">
        <f>QUOTIENT(4736109083000,1000000)</f>
        <v>4736109</v>
      </c>
      <c r="F1791" s="87">
        <f>QUOTIENT(4891579834000,1000000)</f>
        <v>4891579</v>
      </c>
      <c r="G1791" s="87">
        <f>QUOTIENT(6952922244000,1000000)</f>
        <v>6952922</v>
      </c>
      <c r="H1791" s="88">
        <f>QUOTIENT(408045000000,1000000)</f>
        <v>408045</v>
      </c>
    </row>
    <row r="1792" spans="1:8" ht="21.75" customHeight="1" x14ac:dyDescent="0.15">
      <c r="A1792" s="250"/>
      <c r="B1792" s="23" t="s">
        <v>15</v>
      </c>
      <c r="C1792" s="22">
        <v>673</v>
      </c>
      <c r="D1792" s="86">
        <f>QUOTIENT(4549078739000,1000000)</f>
        <v>4549078</v>
      </c>
      <c r="E1792" s="86">
        <f>QUOTIENT(3840485483000,1000000)</f>
        <v>3840485</v>
      </c>
      <c r="F1792" s="87">
        <f>QUOTIENT(554355302000,1000000)</f>
        <v>554355</v>
      </c>
      <c r="G1792" s="87">
        <f>QUOTIENT(139237954000,1000000)</f>
        <v>139237</v>
      </c>
      <c r="H1792" s="88">
        <f>QUOTIENT(15000000000,1000000)</f>
        <v>15000</v>
      </c>
    </row>
    <row r="1793" spans="1:8" ht="21.75" customHeight="1" x14ac:dyDescent="0.15">
      <c r="A1793" s="250"/>
      <c r="B1793" s="23" t="s">
        <v>14</v>
      </c>
      <c r="C1793" s="22">
        <v>40</v>
      </c>
      <c r="D1793" s="86">
        <f>QUOTIENT(215700000000,1000000)</f>
        <v>215700</v>
      </c>
      <c r="E1793" s="86">
        <f>QUOTIENT(100824000000,1000000)</f>
        <v>100824</v>
      </c>
      <c r="F1793" s="87">
        <f>QUOTIENT(16800000000,1000000)</f>
        <v>16800</v>
      </c>
      <c r="G1793" s="87">
        <f>QUOTIENT(70574000000,1000000)</f>
        <v>70574</v>
      </c>
      <c r="H1793" s="88">
        <f>QUOTIENT(27502000000,1000000)</f>
        <v>27502</v>
      </c>
    </row>
    <row r="1794" spans="1:8" ht="21.75" customHeight="1" x14ac:dyDescent="0.15">
      <c r="A1794" s="250"/>
      <c r="B1794" s="23" t="s">
        <v>13</v>
      </c>
      <c r="C1794" s="22">
        <v>565</v>
      </c>
      <c r="D1794" s="86">
        <f>QUOTIENT(2667677849000,1000000)</f>
        <v>2667677</v>
      </c>
      <c r="E1794" s="86">
        <f>QUOTIENT(215587442000,1000000)</f>
        <v>215587</v>
      </c>
      <c r="F1794" s="87">
        <f>QUOTIENT(1330034407000,1000000)</f>
        <v>1330034</v>
      </c>
      <c r="G1794" s="87">
        <f>QUOTIENT(1055661000000,1000000)</f>
        <v>1055661</v>
      </c>
      <c r="H1794" s="88">
        <f>QUOTIENT(66395000000,1000000)</f>
        <v>66395</v>
      </c>
    </row>
    <row r="1795" spans="1:8" ht="21.75" customHeight="1" x14ac:dyDescent="0.15">
      <c r="A1795" s="250"/>
      <c r="B1795" s="23" t="s">
        <v>12</v>
      </c>
      <c r="C1795" s="22">
        <v>275</v>
      </c>
      <c r="D1795" s="86">
        <f>QUOTIENT(7470600000000,1000000)</f>
        <v>7470600</v>
      </c>
      <c r="E1795" s="86">
        <f>QUOTIENT(907200000000,1000000)</f>
        <v>907200</v>
      </c>
      <c r="F1795" s="87">
        <f>QUOTIENT(1733600000000,1000000)</f>
        <v>1733600</v>
      </c>
      <c r="G1795" s="87">
        <f>QUOTIENT(4059870000000,1000000)</f>
        <v>4059870</v>
      </c>
      <c r="H1795" s="88">
        <f>QUOTIENT(769930000000,1000000)</f>
        <v>769930</v>
      </c>
    </row>
    <row r="1796" spans="1:8" ht="21.75" customHeight="1" x14ac:dyDescent="0.15">
      <c r="A1796" s="250"/>
      <c r="B1796" s="23" t="s">
        <v>11</v>
      </c>
      <c r="C1796" s="22">
        <v>79</v>
      </c>
      <c r="D1796" s="86">
        <f>QUOTIENT(1784750000000,1000000)</f>
        <v>1784750</v>
      </c>
      <c r="E1796" s="86">
        <f>QUOTIENT(168700000000,1000000)</f>
        <v>168700</v>
      </c>
      <c r="F1796" s="87">
        <f>QUOTIENT(581350000000,1000000)</f>
        <v>581350</v>
      </c>
      <c r="G1796" s="87">
        <f>QUOTIENT(825500000000,1000000)</f>
        <v>825500</v>
      </c>
      <c r="H1796" s="88">
        <f>QUOTIENT(209200000000,1000000)</f>
        <v>209200</v>
      </c>
    </row>
    <row r="1797" spans="1:8" ht="21.75" customHeight="1" x14ac:dyDescent="0.15">
      <c r="A1797" s="250"/>
      <c r="B1797" s="23" t="s">
        <v>10</v>
      </c>
      <c r="C1797" s="22">
        <v>0</v>
      </c>
      <c r="D1797" s="86">
        <f t="shared" ref="D1797:H1799" si="45">QUOTIENT(0,1000000)</f>
        <v>0</v>
      </c>
      <c r="E1797" s="86">
        <f t="shared" si="45"/>
        <v>0</v>
      </c>
      <c r="F1797" s="87">
        <f t="shared" si="45"/>
        <v>0</v>
      </c>
      <c r="G1797" s="87">
        <f t="shared" si="45"/>
        <v>0</v>
      </c>
      <c r="H1797" s="88">
        <f t="shared" si="45"/>
        <v>0</v>
      </c>
    </row>
    <row r="1798" spans="1:8" ht="21.75" customHeight="1" x14ac:dyDescent="0.15">
      <c r="A1798" s="250"/>
      <c r="B1798" s="23" t="s">
        <v>9</v>
      </c>
      <c r="C1798" s="22">
        <v>0</v>
      </c>
      <c r="D1798" s="86">
        <f t="shared" si="45"/>
        <v>0</v>
      </c>
      <c r="E1798" s="86">
        <f t="shared" si="45"/>
        <v>0</v>
      </c>
      <c r="F1798" s="87">
        <f t="shared" si="45"/>
        <v>0</v>
      </c>
      <c r="G1798" s="87">
        <f t="shared" si="45"/>
        <v>0</v>
      </c>
      <c r="H1798" s="88">
        <f t="shared" si="45"/>
        <v>0</v>
      </c>
    </row>
    <row r="1799" spans="1:8" ht="21.75" customHeight="1" x14ac:dyDescent="0.15">
      <c r="A1799" s="250"/>
      <c r="B1799" s="23" t="s">
        <v>8</v>
      </c>
      <c r="C1799" s="22">
        <v>0</v>
      </c>
      <c r="D1799" s="86">
        <f t="shared" si="45"/>
        <v>0</v>
      </c>
      <c r="E1799" s="86">
        <f t="shared" si="45"/>
        <v>0</v>
      </c>
      <c r="F1799" s="87">
        <f t="shared" si="45"/>
        <v>0</v>
      </c>
      <c r="G1799" s="87">
        <f t="shared" si="45"/>
        <v>0</v>
      </c>
      <c r="H1799" s="88">
        <f t="shared" si="45"/>
        <v>0</v>
      </c>
    </row>
    <row r="1800" spans="1:8" ht="21.75" customHeight="1" x14ac:dyDescent="0.15">
      <c r="A1800" s="251"/>
      <c r="B1800" s="23" t="s">
        <v>7</v>
      </c>
      <c r="C1800" s="22">
        <v>31</v>
      </c>
      <c r="D1800" s="86">
        <f>QUOTIENT(17111900000,1000000)</f>
        <v>17111</v>
      </c>
      <c r="E1800" s="86">
        <f>QUOTIENT(466900000,1000000)</f>
        <v>466</v>
      </c>
      <c r="F1800" s="87">
        <f>QUOTIENT(14000000000,1000000)</f>
        <v>14000</v>
      </c>
      <c r="G1800" s="87">
        <f>QUOTIENT(2645000000,1000000)</f>
        <v>2645</v>
      </c>
      <c r="H1800" s="88">
        <f>QUOTIENT(0,1000000)</f>
        <v>0</v>
      </c>
    </row>
    <row r="1801" spans="1:8" ht="21.75" customHeight="1" x14ac:dyDescent="0.15">
      <c r="A1801" s="18" t="s">
        <v>6</v>
      </c>
      <c r="B1801" s="17" t="s">
        <v>5</v>
      </c>
      <c r="C1801" s="16">
        <v>3483</v>
      </c>
      <c r="D1801" s="80">
        <v>23914702</v>
      </c>
      <c r="E1801" s="80">
        <v>883200</v>
      </c>
      <c r="F1801" s="81">
        <v>13650156</v>
      </c>
      <c r="G1801" s="81">
        <v>7432988</v>
      </c>
      <c r="H1801" s="82">
        <v>1948358</v>
      </c>
    </row>
    <row r="1802" spans="1:8" ht="21.75" customHeight="1" x14ac:dyDescent="0.15">
      <c r="A1802" s="252" t="s">
        <v>4</v>
      </c>
      <c r="B1802" s="12" t="s">
        <v>3</v>
      </c>
      <c r="C1802" s="11">
        <v>5727</v>
      </c>
      <c r="D1802" s="89">
        <v>78055795</v>
      </c>
      <c r="E1802" s="89">
        <v>48253738</v>
      </c>
      <c r="F1802" s="90">
        <v>12663466</v>
      </c>
      <c r="G1802" s="90">
        <v>10352845</v>
      </c>
      <c r="H1802" s="91">
        <v>6785744</v>
      </c>
    </row>
    <row r="1803" spans="1:8" ht="21.75" customHeight="1" thickBot="1" x14ac:dyDescent="0.2">
      <c r="A1803" s="253"/>
      <c r="B1803" s="7" t="s">
        <v>1153</v>
      </c>
      <c r="C1803" s="6">
        <v>7336</v>
      </c>
      <c r="D1803" s="92" t="s">
        <v>1</v>
      </c>
      <c r="E1803" s="92" t="s">
        <v>1</v>
      </c>
      <c r="F1803" s="92" t="s">
        <v>1</v>
      </c>
      <c r="G1803" s="92" t="s">
        <v>1</v>
      </c>
      <c r="H1803" s="93" t="s">
        <v>1</v>
      </c>
    </row>
    <row r="1804" spans="1:8" ht="18" customHeight="1" x14ac:dyDescent="0.15">
      <c r="A1804" s="3" t="s">
        <v>1155</v>
      </c>
      <c r="B1804" s="2"/>
      <c r="C1804" s="2"/>
      <c r="D1804" s="2"/>
      <c r="E1804" s="2"/>
      <c r="F1804" s="2"/>
      <c r="G1804" s="2"/>
      <c r="H1804" s="2"/>
    </row>
    <row r="1805" spans="1:8" ht="18" customHeight="1" x14ac:dyDescent="0.15">
      <c r="A1805" s="3" t="s">
        <v>2587</v>
      </c>
      <c r="B1805" s="2"/>
      <c r="C1805" s="2"/>
      <c r="D1805" s="2"/>
      <c r="E1805" s="2"/>
      <c r="F1805" s="2"/>
      <c r="G1805" s="2"/>
      <c r="H1805" s="2"/>
    </row>
    <row r="1806" spans="1:8" ht="18" customHeight="1" x14ac:dyDescent="0.15">
      <c r="A1806" s="3" t="s">
        <v>1156</v>
      </c>
      <c r="B1806" s="2"/>
      <c r="C1806" s="2"/>
      <c r="D1806" s="2"/>
      <c r="E1806" s="2"/>
      <c r="F1806" s="2"/>
      <c r="G1806" s="2"/>
      <c r="H1806" s="2"/>
    </row>
    <row r="1807" spans="1:8" ht="12" x14ac:dyDescent="0.15">
      <c r="A1807" s="3" t="s">
        <v>2467</v>
      </c>
      <c r="B1807" s="2"/>
      <c r="C1807" s="2"/>
      <c r="D1807" s="2"/>
      <c r="E1807" s="2"/>
      <c r="F1807" s="2"/>
      <c r="G1807" s="2"/>
      <c r="H1807" s="2"/>
    </row>
    <row r="1808" spans="1:8" ht="24" customHeight="1" x14ac:dyDescent="0.15">
      <c r="A1808" s="230" t="s">
        <v>2464</v>
      </c>
      <c r="B1808" s="230"/>
      <c r="C1808" s="230"/>
      <c r="D1808" s="230"/>
      <c r="E1808" s="230"/>
      <c r="F1808" s="230"/>
      <c r="G1808" s="230"/>
      <c r="H1808" s="230"/>
    </row>
    <row r="1809" spans="1:8" ht="17.25" x14ac:dyDescent="0.15">
      <c r="A1809" s="231"/>
      <c r="B1809" s="231"/>
      <c r="C1809" s="231"/>
      <c r="D1809" s="231"/>
      <c r="E1809" s="231"/>
      <c r="F1809" s="231"/>
      <c r="G1809" s="231"/>
      <c r="H1809" s="231"/>
    </row>
    <row r="1810" spans="1:8" ht="18" customHeight="1" thickBot="1" x14ac:dyDescent="0.2">
      <c r="A1810" s="58" t="s">
        <v>48</v>
      </c>
    </row>
    <row r="1811" spans="1:8" ht="18" customHeight="1" x14ac:dyDescent="0.15">
      <c r="A1811" s="232" t="s">
        <v>47</v>
      </c>
      <c r="B1811" s="235" t="s">
        <v>46</v>
      </c>
      <c r="C1811" s="238" t="s">
        <v>45</v>
      </c>
      <c r="D1811" s="241" t="s">
        <v>44</v>
      </c>
      <c r="E1811" s="57"/>
      <c r="F1811" s="56"/>
      <c r="G1811" s="56"/>
      <c r="H1811" s="55"/>
    </row>
    <row r="1812" spans="1:8" ht="18" customHeight="1" x14ac:dyDescent="0.15">
      <c r="A1812" s="233"/>
      <c r="B1812" s="236"/>
      <c r="C1812" s="239"/>
      <c r="D1812" s="242"/>
      <c r="E1812" s="244" t="s">
        <v>43</v>
      </c>
      <c r="F1812" s="246" t="s">
        <v>42</v>
      </c>
      <c r="G1812" s="246" t="s">
        <v>41</v>
      </c>
      <c r="H1812" s="248" t="s">
        <v>40</v>
      </c>
    </row>
    <row r="1813" spans="1:8" s="60" customFormat="1" ht="18" customHeight="1" thickBot="1" x14ac:dyDescent="0.2">
      <c r="A1813" s="234"/>
      <c r="B1813" s="237"/>
      <c r="C1813" s="240"/>
      <c r="D1813" s="243"/>
      <c r="E1813" s="245"/>
      <c r="F1813" s="247"/>
      <c r="G1813" s="247"/>
      <c r="H1813" s="249"/>
    </row>
    <row r="1814" spans="1:8" ht="21.75" customHeight="1" thickTop="1" x14ac:dyDescent="0.15">
      <c r="A1814" s="54"/>
      <c r="B1814" s="53"/>
      <c r="C1814" s="52"/>
      <c r="D1814" s="51" t="s">
        <v>39</v>
      </c>
      <c r="E1814" s="50" t="s">
        <v>39</v>
      </c>
      <c r="F1814" s="49" t="s">
        <v>39</v>
      </c>
      <c r="G1814" s="49" t="s">
        <v>39</v>
      </c>
      <c r="H1814" s="48" t="s">
        <v>39</v>
      </c>
    </row>
    <row r="1815" spans="1:8" ht="21.75" customHeight="1" x14ac:dyDescent="0.15">
      <c r="A1815" s="250" t="s">
        <v>38</v>
      </c>
      <c r="B1815" s="61" t="s">
        <v>37</v>
      </c>
      <c r="C1815" s="62">
        <v>3831</v>
      </c>
      <c r="D1815" s="63">
        <f>QUOTIENT(673589784692852,1000000)</f>
        <v>673589784</v>
      </c>
      <c r="E1815" s="63">
        <f>QUOTIENT(263622574838436,1000000)</f>
        <v>263622574</v>
      </c>
      <c r="F1815" s="64">
        <f>QUOTIENT(195445875532746,1000000)</f>
        <v>195445875</v>
      </c>
      <c r="G1815" s="64">
        <f>QUOTIENT(210471253772987,1000000)</f>
        <v>210471253</v>
      </c>
      <c r="H1815" s="65">
        <f>QUOTIENT(4050080548683,1000000)</f>
        <v>4050080</v>
      </c>
    </row>
    <row r="1816" spans="1:8" ht="21.75" customHeight="1" x14ac:dyDescent="0.15">
      <c r="A1816" s="250"/>
      <c r="B1816" s="66" t="s">
        <v>36</v>
      </c>
      <c r="C1816" s="67">
        <v>26</v>
      </c>
      <c r="D1816" s="68">
        <f>QUOTIENT(178867804500,1000000)</f>
        <v>178867</v>
      </c>
      <c r="E1816" s="68">
        <f>QUOTIENT(51552747000,1000000)</f>
        <v>51552</v>
      </c>
      <c r="F1816" s="69">
        <f>QUOTIENT(115383786500,1000000)</f>
        <v>115383</v>
      </c>
      <c r="G1816" s="69">
        <f>QUOTIENT(11931271000,1000000)</f>
        <v>11931</v>
      </c>
      <c r="H1816" s="70">
        <f>QUOTIENT(0,1000000)</f>
        <v>0</v>
      </c>
    </row>
    <row r="1817" spans="1:8" ht="21.75" customHeight="1" x14ac:dyDescent="0.15">
      <c r="A1817" s="250"/>
      <c r="B1817" s="66" t="s">
        <v>35</v>
      </c>
      <c r="C1817" s="67">
        <v>89</v>
      </c>
      <c r="D1817" s="68">
        <f>QUOTIENT(0,1000000)</f>
        <v>0</v>
      </c>
      <c r="E1817" s="68">
        <f>QUOTIENT(0,1000000)</f>
        <v>0</v>
      </c>
      <c r="F1817" s="69">
        <f>QUOTIENT(0,1000000)</f>
        <v>0</v>
      </c>
      <c r="G1817" s="69">
        <f>QUOTIENT(0,1000000)</f>
        <v>0</v>
      </c>
      <c r="H1817" s="70">
        <f>QUOTIENT(0,1000000)</f>
        <v>0</v>
      </c>
    </row>
    <row r="1818" spans="1:8" ht="21.75" customHeight="1" x14ac:dyDescent="0.15">
      <c r="A1818" s="250"/>
      <c r="B1818" s="71" t="s">
        <v>34</v>
      </c>
      <c r="C1818" s="72">
        <v>1</v>
      </c>
      <c r="D1818" s="73">
        <f>QUOTIENT(163174348800,1000000)</f>
        <v>163174</v>
      </c>
      <c r="E1818" s="73">
        <f>QUOTIENT(123823872000,1000000)</f>
        <v>123823</v>
      </c>
      <c r="F1818" s="74">
        <f>QUOTIENT(7911244800,1000000)</f>
        <v>7911</v>
      </c>
      <c r="G1818" s="74">
        <f>QUOTIENT(29802700800,1000000)</f>
        <v>29802</v>
      </c>
      <c r="H1818" s="75">
        <f>QUOTIENT(1636531200,1000000)</f>
        <v>1636</v>
      </c>
    </row>
    <row r="1819" spans="1:8" ht="21.75" customHeight="1" x14ac:dyDescent="0.15">
      <c r="A1819" s="250"/>
      <c r="B1819" s="66" t="s">
        <v>33</v>
      </c>
      <c r="C1819" s="67">
        <v>69</v>
      </c>
      <c r="D1819" s="68">
        <f>QUOTIENT(13757113032790,1000000)</f>
        <v>13757113</v>
      </c>
      <c r="E1819" s="68">
        <f>QUOTIENT(3480884559360,1000000)</f>
        <v>3480884</v>
      </c>
      <c r="F1819" s="69">
        <f>QUOTIENT(3869233040890,1000000)</f>
        <v>3869233</v>
      </c>
      <c r="G1819" s="69">
        <f>QUOTIENT(6348321556890,1000000)</f>
        <v>6348321</v>
      </c>
      <c r="H1819" s="70">
        <f>QUOTIENT(58673875650,1000000)</f>
        <v>58673</v>
      </c>
    </row>
    <row r="1820" spans="1:8" ht="21.75" customHeight="1" x14ac:dyDescent="0.15">
      <c r="A1820" s="250"/>
      <c r="B1820" s="76" t="s">
        <v>32</v>
      </c>
      <c r="C1820" s="67">
        <v>186</v>
      </c>
      <c r="D1820" s="68">
        <f>QUOTIENT(47866691653754,1000000)</f>
        <v>47866691</v>
      </c>
      <c r="E1820" s="68">
        <f>QUOTIENT(4142912728914,1000000)</f>
        <v>4142912</v>
      </c>
      <c r="F1820" s="69">
        <f>QUOTIENT(1134540133429,1000000)</f>
        <v>1134540</v>
      </c>
      <c r="G1820" s="69">
        <f>QUOTIENT(42542738392627,1000000)</f>
        <v>42542738</v>
      </c>
      <c r="H1820" s="70">
        <f>QUOTIENT(46500398784,1000000)</f>
        <v>46500</v>
      </c>
    </row>
    <row r="1821" spans="1:8" ht="21.75" customHeight="1" x14ac:dyDescent="0.15">
      <c r="A1821" s="251"/>
      <c r="B1821" s="77" t="s">
        <v>31</v>
      </c>
      <c r="C1821" s="72">
        <v>41</v>
      </c>
      <c r="D1821" s="73">
        <f>QUOTIENT(431672256960,1000000)</f>
        <v>431672</v>
      </c>
      <c r="E1821" s="73">
        <f>QUOTIENT(375838101505,1000000)</f>
        <v>375838</v>
      </c>
      <c r="F1821" s="74">
        <f>QUOTIENT(1652594728,1000000)</f>
        <v>1652</v>
      </c>
      <c r="G1821" s="74">
        <f>QUOTIENT(52869644150,1000000)</f>
        <v>52869</v>
      </c>
      <c r="H1821" s="75">
        <f>QUOTIENT(1311916577,1000000)</f>
        <v>1311</v>
      </c>
    </row>
    <row r="1822" spans="1:8" ht="21.75" customHeight="1" x14ac:dyDescent="0.15">
      <c r="A1822" s="30" t="s">
        <v>30</v>
      </c>
      <c r="B1822" s="78" t="s">
        <v>29</v>
      </c>
      <c r="C1822" s="79">
        <v>28</v>
      </c>
      <c r="D1822" s="80">
        <f>QUOTIENT(98827650821,1000000)</f>
        <v>98827</v>
      </c>
      <c r="E1822" s="80">
        <f>QUOTIENT(95453171335,1000000)</f>
        <v>95453</v>
      </c>
      <c r="F1822" s="81">
        <f>QUOTIENT(645791126,1000000)</f>
        <v>645</v>
      </c>
      <c r="G1822" s="81">
        <f>QUOTIENT(340185220,1000000)</f>
        <v>340</v>
      </c>
      <c r="H1822" s="82">
        <f>QUOTIENT(2388503140,1000000)</f>
        <v>2388</v>
      </c>
    </row>
    <row r="1823" spans="1:8" ht="21.75" customHeight="1" x14ac:dyDescent="0.15">
      <c r="A1823" s="252" t="s">
        <v>28</v>
      </c>
      <c r="B1823" s="17" t="s">
        <v>27</v>
      </c>
      <c r="C1823" s="16">
        <v>3255</v>
      </c>
      <c r="D1823" s="83">
        <f>QUOTIENT(62657777070000,1000000)</f>
        <v>62657777</v>
      </c>
      <c r="E1823" s="83">
        <f>QUOTIENT(9543202260000,1000000)</f>
        <v>9543202</v>
      </c>
      <c r="F1823" s="84">
        <f>QUOTIENT(19105536620000,1000000)</f>
        <v>19105536</v>
      </c>
      <c r="G1823" s="84">
        <f>QUOTIENT(27179423300000,1000000)</f>
        <v>27179423</v>
      </c>
      <c r="H1823" s="85">
        <f>QUOTIENT(6829614890000,1000000)</f>
        <v>6829614</v>
      </c>
    </row>
    <row r="1824" spans="1:8" ht="21.75" customHeight="1" x14ac:dyDescent="0.15">
      <c r="A1824" s="250"/>
      <c r="B1824" s="23" t="s">
        <v>26</v>
      </c>
      <c r="C1824" s="22">
        <v>3457</v>
      </c>
      <c r="D1824" s="86">
        <f>QUOTIENT(14928689162000,1000000)</f>
        <v>14928689</v>
      </c>
      <c r="E1824" s="86">
        <f>QUOTIENT(562667930000,1000000)</f>
        <v>562667</v>
      </c>
      <c r="F1824" s="87">
        <f>QUOTIENT(7680268681000,1000000)</f>
        <v>7680268</v>
      </c>
      <c r="G1824" s="87">
        <f>QUOTIENT(5229630681000,1000000)</f>
        <v>5229630</v>
      </c>
      <c r="H1824" s="88">
        <f>QUOTIENT(1456121870000,1000000)</f>
        <v>1456121</v>
      </c>
    </row>
    <row r="1825" spans="1:8" ht="21.75" customHeight="1" x14ac:dyDescent="0.15">
      <c r="A1825" s="250"/>
      <c r="B1825" s="24" t="s">
        <v>25</v>
      </c>
      <c r="C1825" s="22">
        <v>621</v>
      </c>
      <c r="D1825" s="86">
        <f>QUOTIENT(26858160000000,1000000)</f>
        <v>26858160</v>
      </c>
      <c r="E1825" s="86">
        <f>QUOTIENT(1896842300000,1000000)</f>
        <v>1896842</v>
      </c>
      <c r="F1825" s="87">
        <f>QUOTIENT(10110841000000,1000000)</f>
        <v>10110841</v>
      </c>
      <c r="G1825" s="87">
        <f>QUOTIENT(12058007500000,1000000)</f>
        <v>12058007</v>
      </c>
      <c r="H1825" s="88">
        <f>QUOTIENT(2792469200000,1000000)</f>
        <v>2792469</v>
      </c>
    </row>
    <row r="1826" spans="1:8" ht="21.75" customHeight="1" x14ac:dyDescent="0.15">
      <c r="A1826" s="250"/>
      <c r="B1826" s="23" t="s">
        <v>24</v>
      </c>
      <c r="C1826" s="22">
        <v>1951</v>
      </c>
      <c r="D1826" s="86">
        <f>QUOTIENT(55915500000000,1000000)</f>
        <v>55915500</v>
      </c>
      <c r="E1826" s="86">
        <f>QUOTIENT(6021158300000,1000000)</f>
        <v>6021158</v>
      </c>
      <c r="F1826" s="87">
        <f>QUOTIENT(14466067400000,1000000)</f>
        <v>14466067</v>
      </c>
      <c r="G1826" s="87">
        <f>QUOTIENT(31705275300000,1000000)</f>
        <v>31705275</v>
      </c>
      <c r="H1826" s="88">
        <f>QUOTIENT(3722999000000,1000000)</f>
        <v>3722999</v>
      </c>
    </row>
    <row r="1827" spans="1:8" ht="21.75" customHeight="1" x14ac:dyDescent="0.15">
      <c r="A1827" s="250"/>
      <c r="B1827" s="23" t="s">
        <v>23</v>
      </c>
      <c r="C1827" s="22">
        <v>426</v>
      </c>
      <c r="D1827" s="86">
        <f>QUOTIENT(4821232000000,1000000)</f>
        <v>4821232</v>
      </c>
      <c r="E1827" s="86">
        <f>QUOTIENT(365296000000,1000000)</f>
        <v>365296</v>
      </c>
      <c r="F1827" s="87">
        <f>QUOTIENT(60680300000,1000000)</f>
        <v>60680</v>
      </c>
      <c r="G1827" s="87">
        <f>QUOTIENT(4363405700000,1000000)</f>
        <v>4363405</v>
      </c>
      <c r="H1827" s="88">
        <f>QUOTIENT(31850000000,1000000)</f>
        <v>31850</v>
      </c>
    </row>
    <row r="1828" spans="1:8" ht="21.75" customHeight="1" x14ac:dyDescent="0.15">
      <c r="A1828" s="250"/>
      <c r="B1828" s="23" t="s">
        <v>22</v>
      </c>
      <c r="C1828" s="22">
        <v>149</v>
      </c>
      <c r="D1828" s="86">
        <f>QUOTIENT(1251300000000,1000000)</f>
        <v>1251300</v>
      </c>
      <c r="E1828" s="86">
        <f>QUOTIENT(292370000000,1000000)</f>
        <v>292370</v>
      </c>
      <c r="F1828" s="87">
        <f>QUOTIENT(117900000000,1000000)</f>
        <v>117900</v>
      </c>
      <c r="G1828" s="87">
        <f>QUOTIENT(540130000000,1000000)</f>
        <v>540130</v>
      </c>
      <c r="H1828" s="88">
        <f>QUOTIENT(300900000000,1000000)</f>
        <v>300900</v>
      </c>
    </row>
    <row r="1829" spans="1:8" ht="21.75" customHeight="1" x14ac:dyDescent="0.15">
      <c r="A1829" s="250"/>
      <c r="B1829" s="23" t="s">
        <v>21</v>
      </c>
      <c r="C1829" s="22">
        <v>24</v>
      </c>
      <c r="D1829" s="86">
        <f>QUOTIENT(165302000000,1000000)</f>
        <v>165302</v>
      </c>
      <c r="E1829" s="86">
        <f>QUOTIENT(114328000000,1000000)</f>
        <v>114328</v>
      </c>
      <c r="F1829" s="87">
        <f>QUOTIENT(7522000000,1000000)</f>
        <v>7522</v>
      </c>
      <c r="G1829" s="87">
        <f>QUOTIENT(21176000000,1000000)</f>
        <v>21176</v>
      </c>
      <c r="H1829" s="88">
        <f>QUOTIENT(22276000000,1000000)</f>
        <v>22276</v>
      </c>
    </row>
    <row r="1830" spans="1:8" ht="21.75" customHeight="1" x14ac:dyDescent="0.15">
      <c r="A1830" s="250"/>
      <c r="B1830" s="23" t="s">
        <v>20</v>
      </c>
      <c r="C1830" s="22">
        <v>0</v>
      </c>
      <c r="D1830" s="86">
        <f>QUOTIENT(0,1000000)</f>
        <v>0</v>
      </c>
      <c r="E1830" s="86">
        <f>QUOTIENT(0,1000000)</f>
        <v>0</v>
      </c>
      <c r="F1830" s="87">
        <f>QUOTIENT(0,1000000)</f>
        <v>0</v>
      </c>
      <c r="G1830" s="87">
        <f>QUOTIENT(0,1000000)</f>
        <v>0</v>
      </c>
      <c r="H1830" s="88">
        <f>QUOTIENT(0,1000000)</f>
        <v>0</v>
      </c>
    </row>
    <row r="1831" spans="1:8" ht="21.75" customHeight="1" x14ac:dyDescent="0.15">
      <c r="A1831" s="250"/>
      <c r="B1831" s="23" t="s">
        <v>19</v>
      </c>
      <c r="C1831" s="22">
        <v>229</v>
      </c>
      <c r="D1831" s="86">
        <f>QUOTIENT(6347270000000,1000000)</f>
        <v>6347270</v>
      </c>
      <c r="E1831" s="86">
        <f>QUOTIENT(515670000000,1000000)</f>
        <v>515670</v>
      </c>
      <c r="F1831" s="87">
        <f>QUOTIENT(2635380000000,1000000)</f>
        <v>2635380</v>
      </c>
      <c r="G1831" s="87">
        <f>QUOTIENT(2585600000000,1000000)</f>
        <v>2585600</v>
      </c>
      <c r="H1831" s="88">
        <f>QUOTIENT(610620000000,1000000)</f>
        <v>610620</v>
      </c>
    </row>
    <row r="1832" spans="1:8" ht="21.75" customHeight="1" x14ac:dyDescent="0.15">
      <c r="A1832" s="250"/>
      <c r="B1832" s="23" t="s">
        <v>18</v>
      </c>
      <c r="C1832" s="22">
        <v>3710</v>
      </c>
      <c r="D1832" s="86">
        <f>QUOTIENT(73041099000000,1000000)</f>
        <v>73041099</v>
      </c>
      <c r="E1832" s="86">
        <f>QUOTIENT(17423265400000,1000000)</f>
        <v>17423265</v>
      </c>
      <c r="F1832" s="87">
        <f>QUOTIENT(18758380700000,1000000)</f>
        <v>18758380</v>
      </c>
      <c r="G1832" s="87">
        <f>QUOTIENT(28607845400000,1000000)</f>
        <v>28607845</v>
      </c>
      <c r="H1832" s="88">
        <f>QUOTIENT(8251607500000,1000000)</f>
        <v>8251607</v>
      </c>
    </row>
    <row r="1833" spans="1:8" ht="21.75" customHeight="1" x14ac:dyDescent="0.15">
      <c r="A1833" s="250"/>
      <c r="B1833" s="23" t="s">
        <v>17</v>
      </c>
      <c r="C1833" s="22">
        <v>649</v>
      </c>
      <c r="D1833" s="86">
        <f>QUOTIENT(15215560000000,1000000)</f>
        <v>15215560</v>
      </c>
      <c r="E1833" s="86">
        <f>QUOTIENT(3295316000000,1000000)</f>
        <v>3295316</v>
      </c>
      <c r="F1833" s="87">
        <f>QUOTIENT(4792643800000,1000000)</f>
        <v>4792643</v>
      </c>
      <c r="G1833" s="87">
        <f>QUOTIENT(5801034900000,1000000)</f>
        <v>5801034</v>
      </c>
      <c r="H1833" s="88">
        <f>QUOTIENT(1326565300000,1000000)</f>
        <v>1326565</v>
      </c>
    </row>
    <row r="1834" spans="1:8" ht="21.75" customHeight="1" x14ac:dyDescent="0.15">
      <c r="A1834" s="250"/>
      <c r="B1834" s="23" t="s">
        <v>16</v>
      </c>
      <c r="C1834" s="22">
        <v>61730</v>
      </c>
      <c r="D1834" s="86">
        <f>QUOTIENT(17045460661000,1000000)</f>
        <v>17045460</v>
      </c>
      <c r="E1834" s="86">
        <f>QUOTIENT(4800775083000,1000000)</f>
        <v>4800775</v>
      </c>
      <c r="F1834" s="87">
        <f>QUOTIENT(5107652834000,1000000)</f>
        <v>5107652</v>
      </c>
      <c r="G1834" s="87">
        <f>QUOTIENT(6729467744000,1000000)</f>
        <v>6729467</v>
      </c>
      <c r="H1834" s="88">
        <f>QUOTIENT(407565000000,1000000)</f>
        <v>407565</v>
      </c>
    </row>
    <row r="1835" spans="1:8" ht="21.75" customHeight="1" x14ac:dyDescent="0.15">
      <c r="A1835" s="250"/>
      <c r="B1835" s="23" t="s">
        <v>15</v>
      </c>
      <c r="C1835" s="22">
        <v>680</v>
      </c>
      <c r="D1835" s="86">
        <f>QUOTIENT(4623533739000,1000000)</f>
        <v>4623533</v>
      </c>
      <c r="E1835" s="86">
        <f>QUOTIENT(3911651483000,1000000)</f>
        <v>3911651</v>
      </c>
      <c r="F1835" s="87">
        <f>QUOTIENT(554355302000,1000000)</f>
        <v>554355</v>
      </c>
      <c r="G1835" s="87">
        <f>QUOTIENT(142526954000,1000000)</f>
        <v>142526</v>
      </c>
      <c r="H1835" s="88">
        <f>QUOTIENT(15000000000,1000000)</f>
        <v>15000</v>
      </c>
    </row>
    <row r="1836" spans="1:8" ht="21.75" customHeight="1" x14ac:dyDescent="0.15">
      <c r="A1836" s="250"/>
      <c r="B1836" s="23" t="s">
        <v>14</v>
      </c>
      <c r="C1836" s="22">
        <v>41</v>
      </c>
      <c r="D1836" s="86">
        <f>QUOTIENT(217200000000,1000000)</f>
        <v>217200</v>
      </c>
      <c r="E1836" s="86">
        <f>QUOTIENT(100928000000,1000000)</f>
        <v>100928</v>
      </c>
      <c r="F1836" s="87">
        <f>QUOTIENT(16300000000,1000000)</f>
        <v>16300</v>
      </c>
      <c r="G1836" s="87">
        <f>QUOTIENT(72070000000,1000000)</f>
        <v>72070</v>
      </c>
      <c r="H1836" s="88">
        <f>QUOTIENT(27902000000,1000000)</f>
        <v>27902</v>
      </c>
    </row>
    <row r="1837" spans="1:8" ht="21.75" customHeight="1" x14ac:dyDescent="0.15">
      <c r="A1837" s="250"/>
      <c r="B1837" s="23" t="s">
        <v>13</v>
      </c>
      <c r="C1837" s="22">
        <v>564</v>
      </c>
      <c r="D1837" s="86">
        <f>QUOTIENT(2697310849000,1000000)</f>
        <v>2697310</v>
      </c>
      <c r="E1837" s="86">
        <f>QUOTIENT(218087442000,1000000)</f>
        <v>218087</v>
      </c>
      <c r="F1837" s="87">
        <f>QUOTIENT(1332162407000,1000000)</f>
        <v>1332162</v>
      </c>
      <c r="G1837" s="87">
        <f>QUOTIENT(1080666000000,1000000)</f>
        <v>1080666</v>
      </c>
      <c r="H1837" s="88">
        <f>QUOTIENT(66395000000,1000000)</f>
        <v>66395</v>
      </c>
    </row>
    <row r="1838" spans="1:8" ht="21.75" customHeight="1" x14ac:dyDescent="0.15">
      <c r="A1838" s="250"/>
      <c r="B1838" s="23" t="s">
        <v>12</v>
      </c>
      <c r="C1838" s="22">
        <v>276</v>
      </c>
      <c r="D1838" s="86">
        <f>QUOTIENT(7552400000000,1000000)</f>
        <v>7552400</v>
      </c>
      <c r="E1838" s="86">
        <f>QUOTIENT(920800000000,1000000)</f>
        <v>920800</v>
      </c>
      <c r="F1838" s="87">
        <f>QUOTIENT(1740400000000,1000000)</f>
        <v>1740400</v>
      </c>
      <c r="G1838" s="87">
        <f>QUOTIENT(4109370000000,1000000)</f>
        <v>4109370</v>
      </c>
      <c r="H1838" s="88">
        <f>QUOTIENT(781830000000,1000000)</f>
        <v>781830</v>
      </c>
    </row>
    <row r="1839" spans="1:8" ht="21.75" customHeight="1" x14ac:dyDescent="0.15">
      <c r="A1839" s="250"/>
      <c r="B1839" s="23" t="s">
        <v>11</v>
      </c>
      <c r="C1839" s="22">
        <v>80</v>
      </c>
      <c r="D1839" s="86">
        <f>QUOTIENT(1934150000000,1000000)</f>
        <v>1934150</v>
      </c>
      <c r="E1839" s="86">
        <f>QUOTIENT(170500000000,1000000)</f>
        <v>170500</v>
      </c>
      <c r="F1839" s="87">
        <f>QUOTIENT(650450000000,1000000)</f>
        <v>650450</v>
      </c>
      <c r="G1839" s="87">
        <f>QUOTIENT(883900000000,1000000)</f>
        <v>883900</v>
      </c>
      <c r="H1839" s="88">
        <f>QUOTIENT(229300000000,1000000)</f>
        <v>229300</v>
      </c>
    </row>
    <row r="1840" spans="1:8" ht="21.75" customHeight="1" x14ac:dyDescent="0.15">
      <c r="A1840" s="250"/>
      <c r="B1840" s="23" t="s">
        <v>10</v>
      </c>
      <c r="C1840" s="22">
        <v>0</v>
      </c>
      <c r="D1840" s="86">
        <f t="shared" ref="D1840:H1842" si="46">QUOTIENT(0,1000000)</f>
        <v>0</v>
      </c>
      <c r="E1840" s="86">
        <f t="shared" si="46"/>
        <v>0</v>
      </c>
      <c r="F1840" s="87">
        <f t="shared" si="46"/>
        <v>0</v>
      </c>
      <c r="G1840" s="87">
        <f t="shared" si="46"/>
        <v>0</v>
      </c>
      <c r="H1840" s="88">
        <f t="shared" si="46"/>
        <v>0</v>
      </c>
    </row>
    <row r="1841" spans="1:8" ht="21.75" customHeight="1" x14ac:dyDescent="0.15">
      <c r="A1841" s="250"/>
      <c r="B1841" s="23" t="s">
        <v>9</v>
      </c>
      <c r="C1841" s="22">
        <v>0</v>
      </c>
      <c r="D1841" s="86">
        <f t="shared" si="46"/>
        <v>0</v>
      </c>
      <c r="E1841" s="86">
        <f t="shared" si="46"/>
        <v>0</v>
      </c>
      <c r="F1841" s="87">
        <f t="shared" si="46"/>
        <v>0</v>
      </c>
      <c r="G1841" s="87">
        <f t="shared" si="46"/>
        <v>0</v>
      </c>
      <c r="H1841" s="88">
        <f t="shared" si="46"/>
        <v>0</v>
      </c>
    </row>
    <row r="1842" spans="1:8" ht="21.75" customHeight="1" x14ac:dyDescent="0.15">
      <c r="A1842" s="250"/>
      <c r="B1842" s="23" t="s">
        <v>8</v>
      </c>
      <c r="C1842" s="22">
        <v>0</v>
      </c>
      <c r="D1842" s="86">
        <f t="shared" si="46"/>
        <v>0</v>
      </c>
      <c r="E1842" s="86">
        <f t="shared" si="46"/>
        <v>0</v>
      </c>
      <c r="F1842" s="87">
        <f t="shared" si="46"/>
        <v>0</v>
      </c>
      <c r="G1842" s="87">
        <f t="shared" si="46"/>
        <v>0</v>
      </c>
      <c r="H1842" s="88">
        <f t="shared" si="46"/>
        <v>0</v>
      </c>
    </row>
    <row r="1843" spans="1:8" ht="21.75" customHeight="1" x14ac:dyDescent="0.15">
      <c r="A1843" s="251"/>
      <c r="B1843" s="23" t="s">
        <v>7</v>
      </c>
      <c r="C1843" s="22">
        <v>30</v>
      </c>
      <c r="D1843" s="86">
        <f>QUOTIENT(17061900000,1000000)</f>
        <v>17061</v>
      </c>
      <c r="E1843" s="86">
        <f>QUOTIENT(466900000,1000000)</f>
        <v>466</v>
      </c>
      <c r="F1843" s="87">
        <f>QUOTIENT(14000000000,1000000)</f>
        <v>14000</v>
      </c>
      <c r="G1843" s="87">
        <f>QUOTIENT(2595000000,1000000)</f>
        <v>2595</v>
      </c>
      <c r="H1843" s="88">
        <f>QUOTIENT(0,1000000)</f>
        <v>0</v>
      </c>
    </row>
    <row r="1844" spans="1:8" ht="21.75" customHeight="1" x14ac:dyDescent="0.15">
      <c r="A1844" s="18" t="s">
        <v>6</v>
      </c>
      <c r="B1844" s="17" t="s">
        <v>5</v>
      </c>
      <c r="C1844" s="16">
        <v>3448</v>
      </c>
      <c r="D1844" s="80">
        <v>22581371</v>
      </c>
      <c r="E1844" s="80">
        <v>915800</v>
      </c>
      <c r="F1844" s="81">
        <v>12315872</v>
      </c>
      <c r="G1844" s="81">
        <v>7467050</v>
      </c>
      <c r="H1844" s="82">
        <v>1882649</v>
      </c>
    </row>
    <row r="1845" spans="1:8" ht="21.75" customHeight="1" x14ac:dyDescent="0.15">
      <c r="A1845" s="252" t="s">
        <v>4</v>
      </c>
      <c r="B1845" s="12" t="s">
        <v>3</v>
      </c>
      <c r="C1845" s="11">
        <v>5719</v>
      </c>
      <c r="D1845" s="89">
        <v>78779797</v>
      </c>
      <c r="E1845" s="89">
        <v>48455805</v>
      </c>
      <c r="F1845" s="90">
        <v>12859878</v>
      </c>
      <c r="G1845" s="90">
        <v>10562788</v>
      </c>
      <c r="H1845" s="91">
        <v>6901325</v>
      </c>
    </row>
    <row r="1846" spans="1:8" ht="21.75" customHeight="1" thickBot="1" x14ac:dyDescent="0.2">
      <c r="A1846" s="253"/>
      <c r="B1846" s="7" t="s">
        <v>1153</v>
      </c>
      <c r="C1846" s="6">
        <v>7270</v>
      </c>
      <c r="D1846" s="92" t="s">
        <v>1</v>
      </c>
      <c r="E1846" s="92" t="s">
        <v>1</v>
      </c>
      <c r="F1846" s="92" t="s">
        <v>1</v>
      </c>
      <c r="G1846" s="92" t="s">
        <v>1</v>
      </c>
      <c r="H1846" s="93" t="s">
        <v>1</v>
      </c>
    </row>
    <row r="1847" spans="1:8" ht="18" customHeight="1" x14ac:dyDescent="0.15">
      <c r="A1847" s="3" t="s">
        <v>1155</v>
      </c>
      <c r="B1847" s="2"/>
      <c r="C1847" s="2"/>
      <c r="D1847" s="2"/>
      <c r="E1847" s="2"/>
      <c r="F1847" s="2"/>
      <c r="G1847" s="2"/>
      <c r="H1847" s="2"/>
    </row>
    <row r="1848" spans="1:8" ht="18" customHeight="1" x14ac:dyDescent="0.15">
      <c r="A1848" s="3" t="s">
        <v>2587</v>
      </c>
      <c r="B1848" s="2"/>
      <c r="C1848" s="2"/>
      <c r="D1848" s="2"/>
      <c r="E1848" s="2"/>
      <c r="F1848" s="2"/>
      <c r="G1848" s="2"/>
      <c r="H1848" s="2"/>
    </row>
    <row r="1849" spans="1:8" ht="18" customHeight="1" x14ac:dyDescent="0.15">
      <c r="A1849" s="3" t="s">
        <v>1156</v>
      </c>
      <c r="B1849" s="2"/>
      <c r="C1849" s="2"/>
      <c r="D1849" s="2"/>
      <c r="E1849" s="2"/>
      <c r="F1849" s="2"/>
      <c r="G1849" s="2"/>
      <c r="H1849" s="2"/>
    </row>
    <row r="1850" spans="1:8" ht="12" x14ac:dyDescent="0.15">
      <c r="A1850" s="3" t="s">
        <v>2465</v>
      </c>
      <c r="B1850" s="2"/>
      <c r="C1850" s="2"/>
      <c r="D1850" s="2"/>
      <c r="E1850" s="2"/>
      <c r="F1850" s="2"/>
      <c r="G1850" s="2"/>
      <c r="H1850" s="2"/>
    </row>
    <row r="1851" spans="1:8" ht="24" customHeight="1" x14ac:dyDescent="0.15">
      <c r="A1851" s="230" t="s">
        <v>2462</v>
      </c>
      <c r="B1851" s="230"/>
      <c r="C1851" s="230"/>
      <c r="D1851" s="230"/>
      <c r="E1851" s="230"/>
      <c r="F1851" s="230"/>
      <c r="G1851" s="230"/>
      <c r="H1851" s="230"/>
    </row>
    <row r="1852" spans="1:8" ht="17.25" x14ac:dyDescent="0.15">
      <c r="A1852" s="231"/>
      <c r="B1852" s="231"/>
      <c r="C1852" s="231"/>
      <c r="D1852" s="231"/>
      <c r="E1852" s="231"/>
      <c r="F1852" s="231"/>
      <c r="G1852" s="231"/>
      <c r="H1852" s="231"/>
    </row>
    <row r="1853" spans="1:8" ht="18" customHeight="1" thickBot="1" x14ac:dyDescent="0.2">
      <c r="A1853" s="58" t="s">
        <v>48</v>
      </c>
    </row>
    <row r="1854" spans="1:8" ht="18" customHeight="1" x14ac:dyDescent="0.15">
      <c r="A1854" s="232" t="s">
        <v>47</v>
      </c>
      <c r="B1854" s="235" t="s">
        <v>46</v>
      </c>
      <c r="C1854" s="238" t="s">
        <v>45</v>
      </c>
      <c r="D1854" s="241" t="s">
        <v>44</v>
      </c>
      <c r="E1854" s="57"/>
      <c r="F1854" s="56"/>
      <c r="G1854" s="56"/>
      <c r="H1854" s="55"/>
    </row>
    <row r="1855" spans="1:8" ht="18" customHeight="1" x14ac:dyDescent="0.15">
      <c r="A1855" s="233"/>
      <c r="B1855" s="236"/>
      <c r="C1855" s="239"/>
      <c r="D1855" s="242"/>
      <c r="E1855" s="244" t="s">
        <v>43</v>
      </c>
      <c r="F1855" s="246" t="s">
        <v>42</v>
      </c>
      <c r="G1855" s="246" t="s">
        <v>41</v>
      </c>
      <c r="H1855" s="248" t="s">
        <v>40</v>
      </c>
    </row>
    <row r="1856" spans="1:8" s="60" customFormat="1" ht="18" customHeight="1" thickBot="1" x14ac:dyDescent="0.2">
      <c r="A1856" s="234"/>
      <c r="B1856" s="237"/>
      <c r="C1856" s="240"/>
      <c r="D1856" s="243"/>
      <c r="E1856" s="245"/>
      <c r="F1856" s="247"/>
      <c r="G1856" s="247"/>
      <c r="H1856" s="249"/>
    </row>
    <row r="1857" spans="1:8" ht="21.75" customHeight="1" thickTop="1" x14ac:dyDescent="0.15">
      <c r="A1857" s="54"/>
      <c r="B1857" s="53"/>
      <c r="C1857" s="52"/>
      <c r="D1857" s="51" t="s">
        <v>39</v>
      </c>
      <c r="E1857" s="50" t="s">
        <v>39</v>
      </c>
      <c r="F1857" s="49" t="s">
        <v>39</v>
      </c>
      <c r="G1857" s="49" t="s">
        <v>39</v>
      </c>
      <c r="H1857" s="48" t="s">
        <v>39</v>
      </c>
    </row>
    <row r="1858" spans="1:8" ht="21.75" customHeight="1" x14ac:dyDescent="0.15">
      <c r="A1858" s="250" t="s">
        <v>38</v>
      </c>
      <c r="B1858" s="61" t="s">
        <v>37</v>
      </c>
      <c r="C1858" s="62">
        <v>3823</v>
      </c>
      <c r="D1858" s="63">
        <f>QUOTIENT(641584683882096,1000000)</f>
        <v>641584683</v>
      </c>
      <c r="E1858" s="63">
        <f>QUOTIENT(245588730669477,1000000)</f>
        <v>245588730</v>
      </c>
      <c r="F1858" s="64">
        <f>QUOTIENT(194323819478017,1000000)</f>
        <v>194323819</v>
      </c>
      <c r="G1858" s="64">
        <f>QUOTIENT(198063351091010,1000000)</f>
        <v>198063351</v>
      </c>
      <c r="H1858" s="65">
        <f>QUOTIENT(3608782643591,1000000)</f>
        <v>3608782</v>
      </c>
    </row>
    <row r="1859" spans="1:8" ht="21.75" customHeight="1" x14ac:dyDescent="0.15">
      <c r="A1859" s="250"/>
      <c r="B1859" s="66" t="s">
        <v>36</v>
      </c>
      <c r="C1859" s="67">
        <v>25</v>
      </c>
      <c r="D1859" s="68">
        <f>QUOTIENT(237922476500,1000000)</f>
        <v>237922</v>
      </c>
      <c r="E1859" s="68">
        <f>QUOTIENT(81769301500,1000000)</f>
        <v>81769</v>
      </c>
      <c r="F1859" s="69">
        <f>QUOTIENT(142911782500,1000000)</f>
        <v>142911</v>
      </c>
      <c r="G1859" s="69">
        <f>QUOTIENT(13241392500,1000000)</f>
        <v>13241</v>
      </c>
      <c r="H1859" s="70">
        <f>QUOTIENT(0,1000000)</f>
        <v>0</v>
      </c>
    </row>
    <row r="1860" spans="1:8" ht="21.75" customHeight="1" x14ac:dyDescent="0.15">
      <c r="A1860" s="250"/>
      <c r="B1860" s="66" t="s">
        <v>35</v>
      </c>
      <c r="C1860" s="67">
        <v>82</v>
      </c>
      <c r="D1860" s="68">
        <f>QUOTIENT(813122892,1000000)</f>
        <v>813</v>
      </c>
      <c r="E1860" s="68">
        <f>QUOTIENT(642253884,1000000)</f>
        <v>642</v>
      </c>
      <c r="F1860" s="69">
        <f>QUOTIENT(10321608,1000000)</f>
        <v>10</v>
      </c>
      <c r="G1860" s="69">
        <f>QUOTIENT(160547400,1000000)</f>
        <v>160</v>
      </c>
      <c r="H1860" s="70">
        <f>QUOTIENT(0,1000000)</f>
        <v>0</v>
      </c>
    </row>
    <row r="1861" spans="1:8" ht="21.75" customHeight="1" x14ac:dyDescent="0.15">
      <c r="A1861" s="250"/>
      <c r="B1861" s="71" t="s">
        <v>34</v>
      </c>
      <c r="C1861" s="72">
        <v>1</v>
      </c>
      <c r="D1861" s="73">
        <f>QUOTIENT(162891060000,1000000)</f>
        <v>162891</v>
      </c>
      <c r="E1861" s="73">
        <f>QUOTIENT(122856110000,1000000)</f>
        <v>122856</v>
      </c>
      <c r="F1861" s="74">
        <f>QUOTIENT(7999400000,1000000)</f>
        <v>7999</v>
      </c>
      <c r="G1861" s="74">
        <f>QUOTIENT(30401860000,1000000)</f>
        <v>30401</v>
      </c>
      <c r="H1861" s="75">
        <f>QUOTIENT(1633690000,1000000)</f>
        <v>1633</v>
      </c>
    </row>
    <row r="1862" spans="1:8" ht="21.75" customHeight="1" x14ac:dyDescent="0.15">
      <c r="A1862" s="250"/>
      <c r="B1862" s="66" t="s">
        <v>33</v>
      </c>
      <c r="C1862" s="67">
        <v>69</v>
      </c>
      <c r="D1862" s="68">
        <f>QUOTIENT(13842209292160,1000000)</f>
        <v>13842209</v>
      </c>
      <c r="E1862" s="68">
        <f>QUOTIENT(3647916482530,1000000)</f>
        <v>3647916</v>
      </c>
      <c r="F1862" s="69">
        <f>QUOTIENT(3627882168370,1000000)</f>
        <v>3627882</v>
      </c>
      <c r="G1862" s="69">
        <f>QUOTIENT(6479552781470,1000000)</f>
        <v>6479552</v>
      </c>
      <c r="H1862" s="70">
        <f>QUOTIENT(86857859790,1000000)</f>
        <v>86857</v>
      </c>
    </row>
    <row r="1863" spans="1:8" ht="21.75" customHeight="1" x14ac:dyDescent="0.15">
      <c r="A1863" s="250"/>
      <c r="B1863" s="76" t="s">
        <v>32</v>
      </c>
      <c r="C1863" s="67">
        <v>183</v>
      </c>
      <c r="D1863" s="68">
        <f>QUOTIENT(47080894336328,1000000)</f>
        <v>47080894</v>
      </c>
      <c r="E1863" s="68">
        <f>QUOTIENT(3922256085750,1000000)</f>
        <v>3922256</v>
      </c>
      <c r="F1863" s="69">
        <f>QUOTIENT(1131983303357,1000000)</f>
        <v>1131983</v>
      </c>
      <c r="G1863" s="69">
        <f>QUOTIENT(41978837227059,1000000)</f>
        <v>41978837</v>
      </c>
      <c r="H1863" s="70">
        <f>QUOTIENT(47817720162,1000000)</f>
        <v>47817</v>
      </c>
    </row>
    <row r="1864" spans="1:8" ht="21.75" customHeight="1" x14ac:dyDescent="0.15">
      <c r="A1864" s="251"/>
      <c r="B1864" s="77" t="s">
        <v>31</v>
      </c>
      <c r="C1864" s="72">
        <v>41</v>
      </c>
      <c r="D1864" s="73">
        <f>QUOTIENT(476850486494,1000000)</f>
        <v>476850</v>
      </c>
      <c r="E1864" s="73">
        <f>QUOTIENT(418501567232,1000000)</f>
        <v>418501</v>
      </c>
      <c r="F1864" s="74">
        <f>QUOTIENT(2328162730,1000000)</f>
        <v>2328</v>
      </c>
      <c r="G1864" s="74">
        <f>QUOTIENT(54661573450,1000000)</f>
        <v>54661</v>
      </c>
      <c r="H1864" s="75">
        <f>QUOTIENT(1359183082,1000000)</f>
        <v>1359</v>
      </c>
    </row>
    <row r="1865" spans="1:8" ht="21.75" customHeight="1" x14ac:dyDescent="0.15">
      <c r="A1865" s="30" t="s">
        <v>30</v>
      </c>
      <c r="B1865" s="78" t="s">
        <v>29</v>
      </c>
      <c r="C1865" s="79">
        <v>28</v>
      </c>
      <c r="D1865" s="80">
        <f>QUOTIENT(100021429486,1000000)</f>
        <v>100021</v>
      </c>
      <c r="E1865" s="80">
        <f>QUOTIENT(96324615970,1000000)</f>
        <v>96324</v>
      </c>
      <c r="F1865" s="81">
        <f>QUOTIENT(580141323,1000000)</f>
        <v>580</v>
      </c>
      <c r="G1865" s="81">
        <f>QUOTIENT(500088080,1000000)</f>
        <v>500</v>
      </c>
      <c r="H1865" s="82">
        <f>QUOTIENT(2616584113,1000000)</f>
        <v>2616</v>
      </c>
    </row>
    <row r="1866" spans="1:8" ht="21.75" customHeight="1" x14ac:dyDescent="0.15">
      <c r="A1866" s="252" t="s">
        <v>28</v>
      </c>
      <c r="B1866" s="17" t="s">
        <v>27</v>
      </c>
      <c r="C1866" s="16">
        <v>3250</v>
      </c>
      <c r="D1866" s="83">
        <f>QUOTIENT(62642277070000,1000000)</f>
        <v>62642277</v>
      </c>
      <c r="E1866" s="83">
        <f>QUOTIENT(9538136040000,1000000)</f>
        <v>9538136</v>
      </c>
      <c r="F1866" s="84">
        <f>QUOTIENT(18393611290000,1000000)</f>
        <v>18393611</v>
      </c>
      <c r="G1866" s="84">
        <f>QUOTIENT(27543352080000,1000000)</f>
        <v>27543352</v>
      </c>
      <c r="H1866" s="85">
        <f>QUOTIENT(7167177660000,1000000)</f>
        <v>7167177</v>
      </c>
    </row>
    <row r="1867" spans="1:8" ht="21.75" customHeight="1" x14ac:dyDescent="0.15">
      <c r="A1867" s="250"/>
      <c r="B1867" s="23" t="s">
        <v>26</v>
      </c>
      <c r="C1867" s="22">
        <v>3458</v>
      </c>
      <c r="D1867" s="86">
        <f>QUOTIENT(14903743302000,1000000)</f>
        <v>14903743</v>
      </c>
      <c r="E1867" s="86">
        <f>QUOTIENT(556490930000,1000000)</f>
        <v>556490</v>
      </c>
      <c r="F1867" s="87">
        <f>QUOTIENT(7502907641000,1000000)</f>
        <v>7502907</v>
      </c>
      <c r="G1867" s="87">
        <f>QUOTIENT(5345437861000,1000000)</f>
        <v>5345437</v>
      </c>
      <c r="H1867" s="88">
        <f>QUOTIENT(1498906870000,1000000)</f>
        <v>1498906</v>
      </c>
    </row>
    <row r="1868" spans="1:8" ht="21.75" customHeight="1" x14ac:dyDescent="0.15">
      <c r="A1868" s="250"/>
      <c r="B1868" s="24" t="s">
        <v>25</v>
      </c>
      <c r="C1868" s="22">
        <v>625</v>
      </c>
      <c r="D1868" s="86">
        <f>QUOTIENT(27223160000000,1000000)</f>
        <v>27223160</v>
      </c>
      <c r="E1868" s="86">
        <f>QUOTIENT(1984561700000,1000000)</f>
        <v>1984561</v>
      </c>
      <c r="F1868" s="87">
        <f>QUOTIENT(10164078600000,1000000)</f>
        <v>10164078</v>
      </c>
      <c r="G1868" s="87">
        <f>QUOTIENT(12124943500000,1000000)</f>
        <v>12124943</v>
      </c>
      <c r="H1868" s="88">
        <f>QUOTIENT(2949576200000,1000000)</f>
        <v>2949576</v>
      </c>
    </row>
    <row r="1869" spans="1:8" ht="21.75" customHeight="1" x14ac:dyDescent="0.15">
      <c r="A1869" s="250"/>
      <c r="B1869" s="23" t="s">
        <v>24</v>
      </c>
      <c r="C1869" s="22">
        <v>1945</v>
      </c>
      <c r="D1869" s="86">
        <f>QUOTIENT(55786800000000,1000000)</f>
        <v>55786800</v>
      </c>
      <c r="E1869" s="86">
        <f>QUOTIENT(5945010300000,1000000)</f>
        <v>5945010</v>
      </c>
      <c r="F1869" s="87">
        <f>QUOTIENT(14233585400000,1000000)</f>
        <v>14233585</v>
      </c>
      <c r="G1869" s="87">
        <f>QUOTIENT(31830755300000,1000000)</f>
        <v>31830755</v>
      </c>
      <c r="H1869" s="88">
        <f>QUOTIENT(3777449000000,1000000)</f>
        <v>3777449</v>
      </c>
    </row>
    <row r="1870" spans="1:8" ht="21.75" customHeight="1" x14ac:dyDescent="0.15">
      <c r="A1870" s="250"/>
      <c r="B1870" s="23" t="s">
        <v>23</v>
      </c>
      <c r="C1870" s="22">
        <v>423</v>
      </c>
      <c r="D1870" s="86">
        <f>QUOTIENT(4823998000000,1000000)</f>
        <v>4823998</v>
      </c>
      <c r="E1870" s="86">
        <f>QUOTIENT(363071700000,1000000)</f>
        <v>363071</v>
      </c>
      <c r="F1870" s="87">
        <f>QUOTIENT(59364800000,1000000)</f>
        <v>59364</v>
      </c>
      <c r="G1870" s="87">
        <f>QUOTIENT(4367604500000,1000000)</f>
        <v>4367604</v>
      </c>
      <c r="H1870" s="88">
        <f>QUOTIENT(33957000000,1000000)</f>
        <v>33957</v>
      </c>
    </row>
    <row r="1871" spans="1:8" ht="21.75" customHeight="1" x14ac:dyDescent="0.15">
      <c r="A1871" s="250"/>
      <c r="B1871" s="23" t="s">
        <v>22</v>
      </c>
      <c r="C1871" s="22">
        <v>145</v>
      </c>
      <c r="D1871" s="86">
        <f>QUOTIENT(1225300000000,1000000)</f>
        <v>1225300</v>
      </c>
      <c r="E1871" s="86">
        <f>QUOTIENT(287870000000,1000000)</f>
        <v>287870</v>
      </c>
      <c r="F1871" s="87">
        <f>QUOTIENT(113100000000,1000000)</f>
        <v>113100</v>
      </c>
      <c r="G1871" s="87">
        <f>QUOTIENT(529330000000,1000000)</f>
        <v>529330</v>
      </c>
      <c r="H1871" s="88">
        <f>QUOTIENT(295000000000,1000000)</f>
        <v>295000</v>
      </c>
    </row>
    <row r="1872" spans="1:8" ht="21.75" customHeight="1" x14ac:dyDescent="0.15">
      <c r="A1872" s="250"/>
      <c r="B1872" s="23" t="s">
        <v>21</v>
      </c>
      <c r="C1872" s="22">
        <v>24</v>
      </c>
      <c r="D1872" s="86">
        <f>QUOTIENT(165302000000,1000000)</f>
        <v>165302</v>
      </c>
      <c r="E1872" s="86">
        <f>QUOTIENT(114328000000,1000000)</f>
        <v>114328</v>
      </c>
      <c r="F1872" s="87">
        <f>QUOTIENT(7127000000,1000000)</f>
        <v>7127</v>
      </c>
      <c r="G1872" s="87">
        <f>QUOTIENT(21571000000,1000000)</f>
        <v>21571</v>
      </c>
      <c r="H1872" s="88">
        <f>QUOTIENT(22276000000,1000000)</f>
        <v>22276</v>
      </c>
    </row>
    <row r="1873" spans="1:8" ht="21.75" customHeight="1" x14ac:dyDescent="0.15">
      <c r="A1873" s="250"/>
      <c r="B1873" s="23" t="s">
        <v>20</v>
      </c>
      <c r="C1873" s="22">
        <v>0</v>
      </c>
      <c r="D1873" s="86">
        <f>QUOTIENT(0,1000000)</f>
        <v>0</v>
      </c>
      <c r="E1873" s="86">
        <f>QUOTIENT(0,1000000)</f>
        <v>0</v>
      </c>
      <c r="F1873" s="87">
        <f>QUOTIENT(0,1000000)</f>
        <v>0</v>
      </c>
      <c r="G1873" s="87">
        <f>QUOTIENT(0,1000000)</f>
        <v>0</v>
      </c>
      <c r="H1873" s="88">
        <f>QUOTIENT(0,1000000)</f>
        <v>0</v>
      </c>
    </row>
    <row r="1874" spans="1:8" ht="21.75" customHeight="1" x14ac:dyDescent="0.15">
      <c r="A1874" s="250"/>
      <c r="B1874" s="23" t="s">
        <v>19</v>
      </c>
      <c r="C1874" s="22">
        <v>229</v>
      </c>
      <c r="D1874" s="86">
        <f>QUOTIENT(6412490000000,1000000)</f>
        <v>6412490</v>
      </c>
      <c r="E1874" s="86">
        <f>QUOTIENT(533230000000,1000000)</f>
        <v>533230</v>
      </c>
      <c r="F1874" s="87">
        <f>QUOTIENT(2632620000000,1000000)</f>
        <v>2632620</v>
      </c>
      <c r="G1874" s="87">
        <f>QUOTIENT(2597570000000,1000000)</f>
        <v>2597570</v>
      </c>
      <c r="H1874" s="88">
        <f>QUOTIENT(649070000000,1000000)</f>
        <v>649070</v>
      </c>
    </row>
    <row r="1875" spans="1:8" ht="21.75" customHeight="1" x14ac:dyDescent="0.15">
      <c r="A1875" s="250"/>
      <c r="B1875" s="23" t="s">
        <v>18</v>
      </c>
      <c r="C1875" s="22">
        <v>3668</v>
      </c>
      <c r="D1875" s="86">
        <f>QUOTIENT(72287111000000,1000000)</f>
        <v>72287111</v>
      </c>
      <c r="E1875" s="86">
        <f>QUOTIENT(17039637100000,1000000)</f>
        <v>17039637</v>
      </c>
      <c r="F1875" s="87">
        <f>QUOTIENT(17860646400000,1000000)</f>
        <v>17860646</v>
      </c>
      <c r="G1875" s="87">
        <f>QUOTIENT(29083816000000,1000000)</f>
        <v>29083816</v>
      </c>
      <c r="H1875" s="88">
        <f>QUOTIENT(8303011500000,1000000)</f>
        <v>8303011</v>
      </c>
    </row>
    <row r="1876" spans="1:8" ht="21.75" customHeight="1" x14ac:dyDescent="0.15">
      <c r="A1876" s="250"/>
      <c r="B1876" s="23" t="s">
        <v>17</v>
      </c>
      <c r="C1876" s="22">
        <v>649</v>
      </c>
      <c r="D1876" s="86">
        <f>QUOTIENT(15435560000000,1000000)</f>
        <v>15435560</v>
      </c>
      <c r="E1876" s="86">
        <f>QUOTIENT(3274562500000,1000000)</f>
        <v>3274562</v>
      </c>
      <c r="F1876" s="87">
        <f>QUOTIENT(4698086700000,1000000)</f>
        <v>4698086</v>
      </c>
      <c r="G1876" s="87">
        <f>QUOTIENT(6074699500000,1000000)</f>
        <v>6074699</v>
      </c>
      <c r="H1876" s="88">
        <f>QUOTIENT(1388211300000,1000000)</f>
        <v>1388211</v>
      </c>
    </row>
    <row r="1877" spans="1:8" ht="21.75" customHeight="1" x14ac:dyDescent="0.15">
      <c r="A1877" s="250"/>
      <c r="B1877" s="23" t="s">
        <v>16</v>
      </c>
      <c r="C1877" s="22">
        <v>61217</v>
      </c>
      <c r="D1877" s="86">
        <f>QUOTIENT(17170040817000,1000000)</f>
        <v>17170040</v>
      </c>
      <c r="E1877" s="86">
        <f>QUOTIENT(4918140439000,1000000)</f>
        <v>4918140</v>
      </c>
      <c r="F1877" s="87">
        <f>QUOTIENT(5127942634000,1000000)</f>
        <v>5127942</v>
      </c>
      <c r="G1877" s="87">
        <f>QUOTIENT(6717172744000,1000000)</f>
        <v>6717172</v>
      </c>
      <c r="H1877" s="88">
        <f>QUOTIENT(406785000000,1000000)</f>
        <v>406785</v>
      </c>
    </row>
    <row r="1878" spans="1:8" ht="21.75" customHeight="1" x14ac:dyDescent="0.15">
      <c r="A1878" s="250"/>
      <c r="B1878" s="23" t="s">
        <v>15</v>
      </c>
      <c r="C1878" s="22">
        <v>680</v>
      </c>
      <c r="D1878" s="86">
        <f>QUOTIENT(4651799095000,1000000)</f>
        <v>4651799</v>
      </c>
      <c r="E1878" s="86">
        <f>QUOTIENT(3940016839000,1000000)</f>
        <v>3940016</v>
      </c>
      <c r="F1878" s="87">
        <f>QUOTIENT(554355302000,1000000)</f>
        <v>554355</v>
      </c>
      <c r="G1878" s="87">
        <f>QUOTIENT(142426954000,1000000)</f>
        <v>142426</v>
      </c>
      <c r="H1878" s="88">
        <f>QUOTIENT(15000000000,1000000)</f>
        <v>15000</v>
      </c>
    </row>
    <row r="1879" spans="1:8" ht="21.75" customHeight="1" x14ac:dyDescent="0.15">
      <c r="A1879" s="250"/>
      <c r="B1879" s="23" t="s">
        <v>14</v>
      </c>
      <c r="C1879" s="22">
        <v>41</v>
      </c>
      <c r="D1879" s="86">
        <f>QUOTIENT(217200000000,1000000)</f>
        <v>217200</v>
      </c>
      <c r="E1879" s="86">
        <f>QUOTIENT(100949000000,1000000)</f>
        <v>100949</v>
      </c>
      <c r="F1879" s="87">
        <f>QUOTIENT(15500000000,1000000)</f>
        <v>15500</v>
      </c>
      <c r="G1879" s="87">
        <f>QUOTIENT(72149000000,1000000)</f>
        <v>72149</v>
      </c>
      <c r="H1879" s="88">
        <f>QUOTIENT(28602000000,1000000)</f>
        <v>28602</v>
      </c>
    </row>
    <row r="1880" spans="1:8" ht="21.75" customHeight="1" x14ac:dyDescent="0.15">
      <c r="A1880" s="250"/>
      <c r="B1880" s="23" t="s">
        <v>13</v>
      </c>
      <c r="C1880" s="22">
        <v>551</v>
      </c>
      <c r="D1880" s="86">
        <f>QUOTIENT(2670160849000,1000000)</f>
        <v>2670160</v>
      </c>
      <c r="E1880" s="86">
        <f>QUOTIENT(187787442000,1000000)</f>
        <v>187787</v>
      </c>
      <c r="F1880" s="87">
        <f>QUOTIENT(1341512407000,1000000)</f>
        <v>1341512</v>
      </c>
      <c r="G1880" s="87">
        <f>QUOTIENT(1075966000000,1000000)</f>
        <v>1075966</v>
      </c>
      <c r="H1880" s="88">
        <f>QUOTIENT(64895000000,1000000)</f>
        <v>64895</v>
      </c>
    </row>
    <row r="1881" spans="1:8" ht="21.75" customHeight="1" x14ac:dyDescent="0.15">
      <c r="A1881" s="250"/>
      <c r="B1881" s="23" t="s">
        <v>12</v>
      </c>
      <c r="C1881" s="22">
        <v>278</v>
      </c>
      <c r="D1881" s="86">
        <f>QUOTIENT(7650400000000,1000000)</f>
        <v>7650400</v>
      </c>
      <c r="E1881" s="86">
        <f>QUOTIENT(944200000000,1000000)</f>
        <v>944200</v>
      </c>
      <c r="F1881" s="87">
        <f>QUOTIENT(1735800000000,1000000)</f>
        <v>1735800</v>
      </c>
      <c r="G1881" s="87">
        <f>QUOTIENT(4180970000000,1000000)</f>
        <v>4180970</v>
      </c>
      <c r="H1881" s="88">
        <f>QUOTIENT(789430000000,1000000)</f>
        <v>789430</v>
      </c>
    </row>
    <row r="1882" spans="1:8" ht="21.75" customHeight="1" x14ac:dyDescent="0.15">
      <c r="A1882" s="250"/>
      <c r="B1882" s="23" t="s">
        <v>11</v>
      </c>
      <c r="C1882" s="22">
        <v>80</v>
      </c>
      <c r="D1882" s="86">
        <f>QUOTIENT(1993550000000,1000000)</f>
        <v>1993550</v>
      </c>
      <c r="E1882" s="86">
        <f>QUOTIENT(170500000000,1000000)</f>
        <v>170500</v>
      </c>
      <c r="F1882" s="87">
        <f>QUOTIENT(697850000000,1000000)</f>
        <v>697850</v>
      </c>
      <c r="G1882" s="87">
        <f>QUOTIENT(895900000000,1000000)</f>
        <v>895900</v>
      </c>
      <c r="H1882" s="88">
        <f>QUOTIENT(229300000000,1000000)</f>
        <v>229300</v>
      </c>
    </row>
    <row r="1883" spans="1:8" ht="21.75" customHeight="1" x14ac:dyDescent="0.15">
      <c r="A1883" s="250"/>
      <c r="B1883" s="23" t="s">
        <v>10</v>
      </c>
      <c r="C1883" s="22">
        <v>0</v>
      </c>
      <c r="D1883" s="86">
        <f t="shared" ref="D1883:H1885" si="47">QUOTIENT(0,1000000)</f>
        <v>0</v>
      </c>
      <c r="E1883" s="86">
        <f t="shared" si="47"/>
        <v>0</v>
      </c>
      <c r="F1883" s="87">
        <f t="shared" si="47"/>
        <v>0</v>
      </c>
      <c r="G1883" s="87">
        <f t="shared" si="47"/>
        <v>0</v>
      </c>
      <c r="H1883" s="88">
        <f t="shared" si="47"/>
        <v>0</v>
      </c>
    </row>
    <row r="1884" spans="1:8" ht="21.75" customHeight="1" x14ac:dyDescent="0.15">
      <c r="A1884" s="250"/>
      <c r="B1884" s="23" t="s">
        <v>9</v>
      </c>
      <c r="C1884" s="22">
        <v>0</v>
      </c>
      <c r="D1884" s="86">
        <f t="shared" si="47"/>
        <v>0</v>
      </c>
      <c r="E1884" s="86">
        <f t="shared" si="47"/>
        <v>0</v>
      </c>
      <c r="F1884" s="87">
        <f t="shared" si="47"/>
        <v>0</v>
      </c>
      <c r="G1884" s="87">
        <f t="shared" si="47"/>
        <v>0</v>
      </c>
      <c r="H1884" s="88">
        <f t="shared" si="47"/>
        <v>0</v>
      </c>
    </row>
    <row r="1885" spans="1:8" ht="21.75" customHeight="1" x14ac:dyDescent="0.15">
      <c r="A1885" s="250"/>
      <c r="B1885" s="23" t="s">
        <v>8</v>
      </c>
      <c r="C1885" s="22">
        <v>0</v>
      </c>
      <c r="D1885" s="86">
        <f t="shared" si="47"/>
        <v>0</v>
      </c>
      <c r="E1885" s="86">
        <f t="shared" si="47"/>
        <v>0</v>
      </c>
      <c r="F1885" s="87">
        <f t="shared" si="47"/>
        <v>0</v>
      </c>
      <c r="G1885" s="87">
        <f t="shared" si="47"/>
        <v>0</v>
      </c>
      <c r="H1885" s="88">
        <f t="shared" si="47"/>
        <v>0</v>
      </c>
    </row>
    <row r="1886" spans="1:8" ht="21.75" customHeight="1" x14ac:dyDescent="0.15">
      <c r="A1886" s="251"/>
      <c r="B1886" s="23" t="s">
        <v>7</v>
      </c>
      <c r="C1886" s="22">
        <v>30</v>
      </c>
      <c r="D1886" s="86">
        <f>QUOTIENT(17061900000,1000000)</f>
        <v>17061</v>
      </c>
      <c r="E1886" s="86">
        <f>QUOTIENT(466900000,1000000)</f>
        <v>466</v>
      </c>
      <c r="F1886" s="87">
        <f>QUOTIENT(14000000000,1000000)</f>
        <v>14000</v>
      </c>
      <c r="G1886" s="87">
        <f>QUOTIENT(2595000000,1000000)</f>
        <v>2595</v>
      </c>
      <c r="H1886" s="88">
        <f>QUOTIENT(0,1000000)</f>
        <v>0</v>
      </c>
    </row>
    <row r="1887" spans="1:8" ht="21.75" customHeight="1" x14ac:dyDescent="0.15">
      <c r="A1887" s="18" t="s">
        <v>6</v>
      </c>
      <c r="B1887" s="17" t="s">
        <v>5</v>
      </c>
      <c r="C1887" s="16">
        <v>3396</v>
      </c>
      <c r="D1887" s="80">
        <v>25639412</v>
      </c>
      <c r="E1887" s="80">
        <v>715400</v>
      </c>
      <c r="F1887" s="81">
        <v>15233682</v>
      </c>
      <c r="G1887" s="81">
        <v>7784130</v>
      </c>
      <c r="H1887" s="82">
        <v>1906200</v>
      </c>
    </row>
    <row r="1888" spans="1:8" ht="21.75" customHeight="1" x14ac:dyDescent="0.15">
      <c r="A1888" s="252" t="s">
        <v>4</v>
      </c>
      <c r="B1888" s="12" t="s">
        <v>3</v>
      </c>
      <c r="C1888" s="11">
        <v>5746</v>
      </c>
      <c r="D1888" s="89">
        <v>79265633</v>
      </c>
      <c r="E1888" s="89">
        <v>48861830</v>
      </c>
      <c r="F1888" s="90">
        <v>12914015</v>
      </c>
      <c r="G1888" s="90">
        <v>10595251</v>
      </c>
      <c r="H1888" s="91">
        <v>6894536</v>
      </c>
    </row>
    <row r="1889" spans="1:8" ht="21.75" customHeight="1" thickBot="1" x14ac:dyDescent="0.2">
      <c r="A1889" s="253"/>
      <c r="B1889" s="7" t="s">
        <v>1153</v>
      </c>
      <c r="C1889" s="6">
        <v>7220</v>
      </c>
      <c r="D1889" s="92" t="s">
        <v>1</v>
      </c>
      <c r="E1889" s="92" t="s">
        <v>1</v>
      </c>
      <c r="F1889" s="92" t="s">
        <v>1</v>
      </c>
      <c r="G1889" s="92" t="s">
        <v>1</v>
      </c>
      <c r="H1889" s="93" t="s">
        <v>1</v>
      </c>
    </row>
    <row r="1890" spans="1:8" ht="18" customHeight="1" x14ac:dyDescent="0.15">
      <c r="A1890" s="3" t="s">
        <v>1155</v>
      </c>
      <c r="B1890" s="2"/>
      <c r="C1890" s="2"/>
      <c r="D1890" s="2"/>
      <c r="E1890" s="2"/>
      <c r="F1890" s="2"/>
      <c r="G1890" s="2"/>
      <c r="H1890" s="2"/>
    </row>
    <row r="1891" spans="1:8" ht="18" customHeight="1" x14ac:dyDescent="0.15">
      <c r="A1891" s="3" t="s">
        <v>2587</v>
      </c>
      <c r="B1891" s="2"/>
      <c r="C1891" s="2"/>
      <c r="D1891" s="2"/>
      <c r="E1891" s="2"/>
      <c r="F1891" s="2"/>
      <c r="G1891" s="2"/>
      <c r="H1891" s="2"/>
    </row>
    <row r="1892" spans="1:8" ht="18" customHeight="1" x14ac:dyDescent="0.15">
      <c r="A1892" s="3" t="s">
        <v>1156</v>
      </c>
      <c r="B1892" s="2"/>
      <c r="C1892" s="2"/>
      <c r="D1892" s="2"/>
      <c r="E1892" s="2"/>
      <c r="F1892" s="2"/>
      <c r="G1892" s="2"/>
      <c r="H1892" s="2"/>
    </row>
    <row r="1893" spans="1:8" ht="12" x14ac:dyDescent="0.15">
      <c r="A1893" s="3" t="s">
        <v>2463</v>
      </c>
      <c r="B1893" s="2"/>
      <c r="C1893" s="2"/>
      <c r="D1893" s="2"/>
      <c r="E1893" s="2"/>
      <c r="F1893" s="2"/>
      <c r="G1893" s="2"/>
      <c r="H1893" s="2"/>
    </row>
    <row r="1894" spans="1:8" ht="24" customHeight="1" x14ac:dyDescent="0.15">
      <c r="A1894" s="230" t="s">
        <v>2459</v>
      </c>
      <c r="B1894" s="230"/>
      <c r="C1894" s="230"/>
      <c r="D1894" s="230"/>
      <c r="E1894" s="230"/>
      <c r="F1894" s="230"/>
      <c r="G1894" s="230"/>
      <c r="H1894" s="230"/>
    </row>
    <row r="1895" spans="1:8" ht="17.25" x14ac:dyDescent="0.15">
      <c r="A1895" s="231"/>
      <c r="B1895" s="231"/>
      <c r="C1895" s="231"/>
      <c r="D1895" s="231"/>
      <c r="E1895" s="231"/>
      <c r="F1895" s="231"/>
      <c r="G1895" s="231"/>
      <c r="H1895" s="231"/>
    </row>
    <row r="1896" spans="1:8" ht="18" customHeight="1" thickBot="1" x14ac:dyDescent="0.2">
      <c r="A1896" s="58" t="s">
        <v>48</v>
      </c>
    </row>
    <row r="1897" spans="1:8" ht="18" customHeight="1" x14ac:dyDescent="0.15">
      <c r="A1897" s="232" t="s">
        <v>47</v>
      </c>
      <c r="B1897" s="235" t="s">
        <v>46</v>
      </c>
      <c r="C1897" s="238" t="s">
        <v>45</v>
      </c>
      <c r="D1897" s="241" t="s">
        <v>44</v>
      </c>
      <c r="E1897" s="57"/>
      <c r="F1897" s="56"/>
      <c r="G1897" s="56"/>
      <c r="H1897" s="55"/>
    </row>
    <row r="1898" spans="1:8" ht="18" customHeight="1" x14ac:dyDescent="0.15">
      <c r="A1898" s="233"/>
      <c r="B1898" s="236"/>
      <c r="C1898" s="239"/>
      <c r="D1898" s="242"/>
      <c r="E1898" s="244" t="s">
        <v>43</v>
      </c>
      <c r="F1898" s="246" t="s">
        <v>42</v>
      </c>
      <c r="G1898" s="246" t="s">
        <v>41</v>
      </c>
      <c r="H1898" s="248" t="s">
        <v>40</v>
      </c>
    </row>
    <row r="1899" spans="1:8" s="60" customFormat="1" ht="18" customHeight="1" thickBot="1" x14ac:dyDescent="0.2">
      <c r="A1899" s="234"/>
      <c r="B1899" s="237"/>
      <c r="C1899" s="240"/>
      <c r="D1899" s="243"/>
      <c r="E1899" s="245"/>
      <c r="F1899" s="247"/>
      <c r="G1899" s="247"/>
      <c r="H1899" s="249"/>
    </row>
    <row r="1900" spans="1:8" ht="21.75" customHeight="1" thickTop="1" x14ac:dyDescent="0.15">
      <c r="A1900" s="54"/>
      <c r="B1900" s="53"/>
      <c r="C1900" s="52"/>
      <c r="D1900" s="51" t="s">
        <v>39</v>
      </c>
      <c r="E1900" s="50" t="s">
        <v>39</v>
      </c>
      <c r="F1900" s="49" t="s">
        <v>39</v>
      </c>
      <c r="G1900" s="49" t="s">
        <v>39</v>
      </c>
      <c r="H1900" s="48" t="s">
        <v>39</v>
      </c>
    </row>
    <row r="1901" spans="1:8" ht="21.75" customHeight="1" x14ac:dyDescent="0.15">
      <c r="A1901" s="250" t="s">
        <v>38</v>
      </c>
      <c r="B1901" s="61" t="s">
        <v>37</v>
      </c>
      <c r="C1901" s="62">
        <v>3823</v>
      </c>
      <c r="D1901" s="63">
        <f>QUOTIENT(595143260996029,1000000)</f>
        <v>595143260</v>
      </c>
      <c r="E1901" s="63">
        <f>QUOTIENT(226310086143393,1000000)</f>
        <v>226310086</v>
      </c>
      <c r="F1901" s="64">
        <f>QUOTIENT(182460925917715,1000000)</f>
        <v>182460925</v>
      </c>
      <c r="G1901" s="64">
        <f>QUOTIENT(183276873138622,1000000)</f>
        <v>183276873</v>
      </c>
      <c r="H1901" s="65">
        <f>QUOTIENT(3095375796298,1000000)</f>
        <v>3095375</v>
      </c>
    </row>
    <row r="1902" spans="1:8" ht="21.75" customHeight="1" x14ac:dyDescent="0.15">
      <c r="A1902" s="250"/>
      <c r="B1902" s="66" t="s">
        <v>36</v>
      </c>
      <c r="C1902" s="67">
        <v>23</v>
      </c>
      <c r="D1902" s="68">
        <f>QUOTIENT(260470384500,1000000)</f>
        <v>260470</v>
      </c>
      <c r="E1902" s="68">
        <f>QUOTIENT(72589027500,1000000)</f>
        <v>72589</v>
      </c>
      <c r="F1902" s="69">
        <f>QUOTIENT(174704160000,1000000)</f>
        <v>174704</v>
      </c>
      <c r="G1902" s="69">
        <f>QUOTIENT(13177197000,1000000)</f>
        <v>13177</v>
      </c>
      <c r="H1902" s="70">
        <f>QUOTIENT(0,1000000)</f>
        <v>0</v>
      </c>
    </row>
    <row r="1903" spans="1:8" ht="21.75" customHeight="1" x14ac:dyDescent="0.15">
      <c r="A1903" s="250"/>
      <c r="B1903" s="66" t="s">
        <v>35</v>
      </c>
      <c r="C1903" s="67">
        <v>81</v>
      </c>
      <c r="D1903" s="68">
        <f>QUOTIENT(0,1000000)</f>
        <v>0</v>
      </c>
      <c r="E1903" s="68">
        <f>QUOTIENT(0,1000000)</f>
        <v>0</v>
      </c>
      <c r="F1903" s="69">
        <f>QUOTIENT(0,1000000)</f>
        <v>0</v>
      </c>
      <c r="G1903" s="69">
        <f>QUOTIENT(0,1000000)</f>
        <v>0</v>
      </c>
      <c r="H1903" s="70">
        <f>QUOTIENT(0,1000000)</f>
        <v>0</v>
      </c>
    </row>
    <row r="1904" spans="1:8" ht="21.75" customHeight="1" x14ac:dyDescent="0.15">
      <c r="A1904" s="250"/>
      <c r="B1904" s="71" t="s">
        <v>34</v>
      </c>
      <c r="C1904" s="72">
        <v>1</v>
      </c>
      <c r="D1904" s="73">
        <f>QUOTIENT(162891060000,1000000)</f>
        <v>162891</v>
      </c>
      <c r="E1904" s="73">
        <f>QUOTIENT(122848520000,1000000)</f>
        <v>122848</v>
      </c>
      <c r="F1904" s="74">
        <f>QUOTIENT(8000090000,1000000)</f>
        <v>8000</v>
      </c>
      <c r="G1904" s="74">
        <f>QUOTIENT(30408760000,1000000)</f>
        <v>30408</v>
      </c>
      <c r="H1904" s="75">
        <f>QUOTIENT(1633690000,1000000)</f>
        <v>1633</v>
      </c>
    </row>
    <row r="1905" spans="1:8" ht="21.75" customHeight="1" x14ac:dyDescent="0.15">
      <c r="A1905" s="250"/>
      <c r="B1905" s="66" t="s">
        <v>33</v>
      </c>
      <c r="C1905" s="67">
        <v>70</v>
      </c>
      <c r="D1905" s="68">
        <f>QUOTIENT(13122802901390,1000000)</f>
        <v>13122802</v>
      </c>
      <c r="E1905" s="68">
        <f>QUOTIENT(3405417150020,1000000)</f>
        <v>3405417</v>
      </c>
      <c r="F1905" s="69">
        <f>QUOTIENT(3483077576010,1000000)</f>
        <v>3483077</v>
      </c>
      <c r="G1905" s="69">
        <f>QUOTIENT(6167819165200,1000000)</f>
        <v>6167819</v>
      </c>
      <c r="H1905" s="70">
        <f>QUOTIENT(66489010160,1000000)</f>
        <v>66489</v>
      </c>
    </row>
    <row r="1906" spans="1:8" ht="21.75" customHeight="1" x14ac:dyDescent="0.15">
      <c r="A1906" s="250"/>
      <c r="B1906" s="76" t="s">
        <v>32</v>
      </c>
      <c r="C1906" s="67">
        <v>181</v>
      </c>
      <c r="D1906" s="68">
        <f>QUOTIENT(43602276237891,1000000)</f>
        <v>43602276</v>
      </c>
      <c r="E1906" s="68">
        <f>QUOTIENT(3759142853588,1000000)</f>
        <v>3759142</v>
      </c>
      <c r="F1906" s="69">
        <f>QUOTIENT(1056391693617,1000000)</f>
        <v>1056391</v>
      </c>
      <c r="G1906" s="69">
        <f>QUOTIENT(38733982431948,1000000)</f>
        <v>38733982</v>
      </c>
      <c r="H1906" s="70">
        <f>QUOTIENT(52759258738,1000000)</f>
        <v>52759</v>
      </c>
    </row>
    <row r="1907" spans="1:8" ht="21.75" customHeight="1" x14ac:dyDescent="0.15">
      <c r="A1907" s="251"/>
      <c r="B1907" s="77" t="s">
        <v>31</v>
      </c>
      <c r="C1907" s="72">
        <v>41</v>
      </c>
      <c r="D1907" s="73">
        <f>QUOTIENT(446035932315,1000000)</f>
        <v>446035</v>
      </c>
      <c r="E1907" s="73">
        <f>QUOTIENT(389253670276,1000000)</f>
        <v>389253</v>
      </c>
      <c r="F1907" s="74">
        <f>QUOTIENT(3166012829,1000000)</f>
        <v>3166</v>
      </c>
      <c r="G1907" s="74">
        <f>QUOTIENT(52374609530,1000000)</f>
        <v>52374</v>
      </c>
      <c r="H1907" s="75">
        <f>QUOTIENT(1241639680,1000000)</f>
        <v>1241</v>
      </c>
    </row>
    <row r="1908" spans="1:8" ht="21.75" customHeight="1" x14ac:dyDescent="0.15">
      <c r="A1908" s="30" t="s">
        <v>30</v>
      </c>
      <c r="B1908" s="78" t="s">
        <v>29</v>
      </c>
      <c r="C1908" s="79">
        <v>28</v>
      </c>
      <c r="D1908" s="80">
        <f>QUOTIENT(99281830551,1000000)</f>
        <v>99281</v>
      </c>
      <c r="E1908" s="80">
        <f>QUOTIENT(95627761873,1000000)</f>
        <v>95627</v>
      </c>
      <c r="F1908" s="81">
        <f>QUOTIENT(645617116,1000000)</f>
        <v>645</v>
      </c>
      <c r="G1908" s="81">
        <f>QUOTIENT(534913520,1000000)</f>
        <v>534</v>
      </c>
      <c r="H1908" s="82">
        <f>QUOTIENT(2473538042,1000000)</f>
        <v>2473</v>
      </c>
    </row>
    <row r="1909" spans="1:8" ht="21.75" customHeight="1" x14ac:dyDescent="0.15">
      <c r="A1909" s="252" t="s">
        <v>28</v>
      </c>
      <c r="B1909" s="17" t="s">
        <v>27</v>
      </c>
      <c r="C1909" s="16">
        <v>3226</v>
      </c>
      <c r="D1909" s="83">
        <f>QUOTIENT(62275277070000,1000000)</f>
        <v>62275277</v>
      </c>
      <c r="E1909" s="83">
        <f>QUOTIENT(9517135350000,1000000)</f>
        <v>9517135</v>
      </c>
      <c r="F1909" s="84">
        <f>QUOTIENT(17696453570000,1000000)</f>
        <v>17696453</v>
      </c>
      <c r="G1909" s="84">
        <f>QUOTIENT(27768532840000,1000000)</f>
        <v>27768532</v>
      </c>
      <c r="H1909" s="85">
        <f>QUOTIENT(7293155310000,1000000)</f>
        <v>7293155</v>
      </c>
    </row>
    <row r="1910" spans="1:8" ht="21.75" customHeight="1" x14ac:dyDescent="0.15">
      <c r="A1910" s="250"/>
      <c r="B1910" s="23" t="s">
        <v>26</v>
      </c>
      <c r="C1910" s="22">
        <v>3449</v>
      </c>
      <c r="D1910" s="86">
        <f>QUOTIENT(14848031302000,1000000)</f>
        <v>14848031</v>
      </c>
      <c r="E1910" s="86">
        <f>QUOTIENT(557603930000,1000000)</f>
        <v>557603</v>
      </c>
      <c r="F1910" s="87">
        <f>QUOTIENT(7289420441000,1000000)</f>
        <v>7289420</v>
      </c>
      <c r="G1910" s="87">
        <f>QUOTIENT(5500998061000,1000000)</f>
        <v>5500998</v>
      </c>
      <c r="H1910" s="88">
        <f>QUOTIENT(1500008870000,1000000)</f>
        <v>1500008</v>
      </c>
    </row>
    <row r="1911" spans="1:8" ht="21.75" customHeight="1" x14ac:dyDescent="0.15">
      <c r="A1911" s="250"/>
      <c r="B1911" s="24" t="s">
        <v>25</v>
      </c>
      <c r="C1911" s="22">
        <v>625</v>
      </c>
      <c r="D1911" s="86">
        <f>QUOTIENT(27318160000000,1000000)</f>
        <v>27318160</v>
      </c>
      <c r="E1911" s="86">
        <f>QUOTIENT(1972647700000,1000000)</f>
        <v>1972647</v>
      </c>
      <c r="F1911" s="87">
        <f>QUOTIENT(9982945900000,1000000)</f>
        <v>9982945</v>
      </c>
      <c r="G1911" s="87">
        <f>QUOTIENT(12184718500000,1000000)</f>
        <v>12184718</v>
      </c>
      <c r="H1911" s="88">
        <f>QUOTIENT(3177847900000,1000000)</f>
        <v>3177847</v>
      </c>
    </row>
    <row r="1912" spans="1:8" ht="21.75" customHeight="1" x14ac:dyDescent="0.15">
      <c r="A1912" s="250"/>
      <c r="B1912" s="23" t="s">
        <v>24</v>
      </c>
      <c r="C1912" s="22">
        <v>1935</v>
      </c>
      <c r="D1912" s="86">
        <f>QUOTIENT(55307200000000,1000000)</f>
        <v>55307200</v>
      </c>
      <c r="E1912" s="86">
        <f>QUOTIENT(5886180300000,1000000)</f>
        <v>5886180</v>
      </c>
      <c r="F1912" s="87">
        <f>QUOTIENT(13641625400000,1000000)</f>
        <v>13641625</v>
      </c>
      <c r="G1912" s="87">
        <f>QUOTIENT(31782115300000,1000000)</f>
        <v>31782115</v>
      </c>
      <c r="H1912" s="88">
        <f>QUOTIENT(3997279000000,1000000)</f>
        <v>3997279</v>
      </c>
    </row>
    <row r="1913" spans="1:8" ht="21.75" customHeight="1" x14ac:dyDescent="0.15">
      <c r="A1913" s="250"/>
      <c r="B1913" s="23" t="s">
        <v>23</v>
      </c>
      <c r="C1913" s="22">
        <v>419</v>
      </c>
      <c r="D1913" s="86">
        <f>QUOTIENT(4761998000000,1000000)</f>
        <v>4761998</v>
      </c>
      <c r="E1913" s="86">
        <f>QUOTIENT(365071700000,1000000)</f>
        <v>365071</v>
      </c>
      <c r="F1913" s="87">
        <f>QUOTIENT(59364800000,1000000)</f>
        <v>59364</v>
      </c>
      <c r="G1913" s="87">
        <f>QUOTIENT(4303604500000,1000000)</f>
        <v>4303604</v>
      </c>
      <c r="H1913" s="88">
        <f>QUOTIENT(33957000000,1000000)</f>
        <v>33957</v>
      </c>
    </row>
    <row r="1914" spans="1:8" ht="21.75" customHeight="1" x14ac:dyDescent="0.15">
      <c r="A1914" s="250"/>
      <c r="B1914" s="23" t="s">
        <v>22</v>
      </c>
      <c r="C1914" s="22">
        <v>145</v>
      </c>
      <c r="D1914" s="86">
        <f>QUOTIENT(1225300000000,1000000)</f>
        <v>1225300</v>
      </c>
      <c r="E1914" s="86">
        <f>QUOTIENT(287670000000,1000000)</f>
        <v>287670</v>
      </c>
      <c r="F1914" s="87">
        <f>QUOTIENT(113200000000,1000000)</f>
        <v>113200</v>
      </c>
      <c r="G1914" s="87">
        <f>QUOTIENT(529430000000,1000000)</f>
        <v>529430</v>
      </c>
      <c r="H1914" s="88">
        <f>QUOTIENT(295000000000,1000000)</f>
        <v>295000</v>
      </c>
    </row>
    <row r="1915" spans="1:8" ht="21.75" customHeight="1" x14ac:dyDescent="0.15">
      <c r="A1915" s="250"/>
      <c r="B1915" s="23" t="s">
        <v>21</v>
      </c>
      <c r="C1915" s="22">
        <v>24</v>
      </c>
      <c r="D1915" s="86">
        <f>QUOTIENT(165302000000,1000000)</f>
        <v>165302</v>
      </c>
      <c r="E1915" s="86">
        <f>QUOTIENT(114328000000,1000000)</f>
        <v>114328</v>
      </c>
      <c r="F1915" s="87">
        <f>QUOTIENT(7127000000,1000000)</f>
        <v>7127</v>
      </c>
      <c r="G1915" s="87">
        <f>QUOTIENT(21571000000,1000000)</f>
        <v>21571</v>
      </c>
      <c r="H1915" s="88">
        <f>QUOTIENT(22276000000,1000000)</f>
        <v>22276</v>
      </c>
    </row>
    <row r="1916" spans="1:8" ht="21.75" customHeight="1" x14ac:dyDescent="0.15">
      <c r="A1916" s="250"/>
      <c r="B1916" s="23" t="s">
        <v>20</v>
      </c>
      <c r="C1916" s="22">
        <v>0</v>
      </c>
      <c r="D1916" s="86">
        <f>QUOTIENT(0,1000000)</f>
        <v>0</v>
      </c>
      <c r="E1916" s="86">
        <f>QUOTIENT(0,1000000)</f>
        <v>0</v>
      </c>
      <c r="F1916" s="87">
        <f>QUOTIENT(0,1000000)</f>
        <v>0</v>
      </c>
      <c r="G1916" s="87">
        <f>QUOTIENT(0,1000000)</f>
        <v>0</v>
      </c>
      <c r="H1916" s="88">
        <f>QUOTIENT(0,1000000)</f>
        <v>0</v>
      </c>
    </row>
    <row r="1917" spans="1:8" ht="21.75" customHeight="1" x14ac:dyDescent="0.15">
      <c r="A1917" s="250"/>
      <c r="B1917" s="23" t="s">
        <v>19</v>
      </c>
      <c r="C1917" s="22">
        <v>230</v>
      </c>
      <c r="D1917" s="86">
        <f>QUOTIENT(6519820000000,1000000)</f>
        <v>6519820</v>
      </c>
      <c r="E1917" s="86">
        <f>QUOTIENT(539680000000,1000000)</f>
        <v>539680</v>
      </c>
      <c r="F1917" s="87">
        <f>QUOTIENT(2663490000000,1000000)</f>
        <v>2663490</v>
      </c>
      <c r="G1917" s="87">
        <f>QUOTIENT(2636780000000,1000000)</f>
        <v>2636780</v>
      </c>
      <c r="H1917" s="88">
        <f>QUOTIENT(679870000000,1000000)</f>
        <v>679870</v>
      </c>
    </row>
    <row r="1918" spans="1:8" ht="21.75" customHeight="1" x14ac:dyDescent="0.15">
      <c r="A1918" s="250"/>
      <c r="B1918" s="23" t="s">
        <v>18</v>
      </c>
      <c r="C1918" s="22">
        <v>3659</v>
      </c>
      <c r="D1918" s="86">
        <f>QUOTIENT(72245263000000,1000000)</f>
        <v>72245263</v>
      </c>
      <c r="E1918" s="86">
        <f>QUOTIENT(17136582000000,1000000)</f>
        <v>17136582</v>
      </c>
      <c r="F1918" s="87">
        <f>QUOTIENT(16267053400000,1000000)</f>
        <v>16267053</v>
      </c>
      <c r="G1918" s="87">
        <f>QUOTIENT(30301171100000,1000000)</f>
        <v>30301171</v>
      </c>
      <c r="H1918" s="88">
        <f>QUOTIENT(8540456500000,1000000)</f>
        <v>8540456</v>
      </c>
    </row>
    <row r="1919" spans="1:8" ht="21.75" customHeight="1" x14ac:dyDescent="0.15">
      <c r="A1919" s="250"/>
      <c r="B1919" s="23" t="s">
        <v>17</v>
      </c>
      <c r="C1919" s="22">
        <v>652</v>
      </c>
      <c r="D1919" s="86">
        <f>QUOTIENT(15515560000000,1000000)</f>
        <v>15515560</v>
      </c>
      <c r="E1919" s="86">
        <f>QUOTIENT(3320582600000,1000000)</f>
        <v>3320582</v>
      </c>
      <c r="F1919" s="87">
        <f>QUOTIENT(4222342100000,1000000)</f>
        <v>4222342</v>
      </c>
      <c r="G1919" s="87">
        <f>QUOTIENT(6472776000000,1000000)</f>
        <v>6472776</v>
      </c>
      <c r="H1919" s="88">
        <f>QUOTIENT(1499859300000,1000000)</f>
        <v>1499859</v>
      </c>
    </row>
    <row r="1920" spans="1:8" ht="21.75" customHeight="1" x14ac:dyDescent="0.15">
      <c r="A1920" s="250"/>
      <c r="B1920" s="23" t="s">
        <v>16</v>
      </c>
      <c r="C1920" s="22">
        <v>61090</v>
      </c>
      <c r="D1920" s="86">
        <f>QUOTIENT(17239311778000,1000000)</f>
        <v>17239311</v>
      </c>
      <c r="E1920" s="86">
        <f>QUOTIENT(4946900400000,1000000)</f>
        <v>4946900</v>
      </c>
      <c r="F1920" s="87">
        <f>QUOTIENT(5170751634000,1000000)</f>
        <v>5170751</v>
      </c>
      <c r="G1920" s="87">
        <f>QUOTIENT(6714124744000,1000000)</f>
        <v>6714124</v>
      </c>
      <c r="H1920" s="88">
        <f>QUOTIENT(407535000000,1000000)</f>
        <v>407535</v>
      </c>
    </row>
    <row r="1921" spans="1:8" ht="21.75" customHeight="1" x14ac:dyDescent="0.15">
      <c r="A1921" s="250"/>
      <c r="B1921" s="23" t="s">
        <v>15</v>
      </c>
      <c r="C1921" s="22">
        <v>686</v>
      </c>
      <c r="D1921" s="86">
        <f>QUOTIENT(4690081556000,1000000)</f>
        <v>4690081</v>
      </c>
      <c r="E1921" s="86">
        <f>QUOTIENT(3962740800000,1000000)</f>
        <v>3962740</v>
      </c>
      <c r="F1921" s="87">
        <f>QUOTIENT(560405302000,1000000)</f>
        <v>560405</v>
      </c>
      <c r="G1921" s="87">
        <f>QUOTIENT(151935454000,1000000)</f>
        <v>151935</v>
      </c>
      <c r="H1921" s="88">
        <f>QUOTIENT(15000000000,1000000)</f>
        <v>15000</v>
      </c>
    </row>
    <row r="1922" spans="1:8" ht="21.75" customHeight="1" x14ac:dyDescent="0.15">
      <c r="A1922" s="250"/>
      <c r="B1922" s="23" t="s">
        <v>14</v>
      </c>
      <c r="C1922" s="22">
        <v>41</v>
      </c>
      <c r="D1922" s="86">
        <f>QUOTIENT(217200000000,1000000)</f>
        <v>217200</v>
      </c>
      <c r="E1922" s="86">
        <f>QUOTIENT(101150000000,1000000)</f>
        <v>101150</v>
      </c>
      <c r="F1922" s="87">
        <f>QUOTIENT(15000000000,1000000)</f>
        <v>15000</v>
      </c>
      <c r="G1922" s="87">
        <f>QUOTIENT(72448000000,1000000)</f>
        <v>72448</v>
      </c>
      <c r="H1922" s="88">
        <f>QUOTIENT(28602000000,1000000)</f>
        <v>28602</v>
      </c>
    </row>
    <row r="1923" spans="1:8" ht="21.75" customHeight="1" x14ac:dyDescent="0.15">
      <c r="A1923" s="250"/>
      <c r="B1923" s="23" t="s">
        <v>13</v>
      </c>
      <c r="C1923" s="22">
        <v>559</v>
      </c>
      <c r="D1923" s="86">
        <f>QUOTIENT(2726690849000,1000000)</f>
        <v>2726690</v>
      </c>
      <c r="E1923" s="86">
        <f>QUOTIENT(187787442000,1000000)</f>
        <v>187787</v>
      </c>
      <c r="F1923" s="87">
        <f>QUOTIENT(1374184407000,1000000)</f>
        <v>1374184</v>
      </c>
      <c r="G1923" s="87">
        <f>QUOTIENT(1099824000000,1000000)</f>
        <v>1099824</v>
      </c>
      <c r="H1923" s="88">
        <f>QUOTIENT(64895000000,1000000)</f>
        <v>64895</v>
      </c>
    </row>
    <row r="1924" spans="1:8" ht="21.75" customHeight="1" x14ac:dyDescent="0.15">
      <c r="A1924" s="250"/>
      <c r="B1924" s="23" t="s">
        <v>12</v>
      </c>
      <c r="C1924" s="22">
        <v>278</v>
      </c>
      <c r="D1924" s="86">
        <f>QUOTIENT(7650400000000,1000000)</f>
        <v>7650400</v>
      </c>
      <c r="E1924" s="86">
        <f>QUOTIENT(910995000000,1000000)</f>
        <v>910995</v>
      </c>
      <c r="F1924" s="87">
        <f>QUOTIENT(1727105000000,1000000)</f>
        <v>1727105</v>
      </c>
      <c r="G1924" s="87">
        <f>QUOTIENT(4225870000000,1000000)</f>
        <v>4225870</v>
      </c>
      <c r="H1924" s="88">
        <f>QUOTIENT(786430000000,1000000)</f>
        <v>786430</v>
      </c>
    </row>
    <row r="1925" spans="1:8" ht="21.75" customHeight="1" x14ac:dyDescent="0.15">
      <c r="A1925" s="250"/>
      <c r="B1925" s="23" t="s">
        <v>11</v>
      </c>
      <c r="C1925" s="22">
        <v>79</v>
      </c>
      <c r="D1925" s="86">
        <f>QUOTIENT(2009350000000,1000000)</f>
        <v>2009350</v>
      </c>
      <c r="E1925" s="86">
        <f>QUOTIENT(170100000000,1000000)</f>
        <v>170100</v>
      </c>
      <c r="F1925" s="87">
        <f>QUOTIENT(702550000000,1000000)</f>
        <v>702550</v>
      </c>
      <c r="G1925" s="87">
        <f>QUOTIENT(907400000000,1000000)</f>
        <v>907400</v>
      </c>
      <c r="H1925" s="88">
        <f>QUOTIENT(229300000000,1000000)</f>
        <v>229300</v>
      </c>
    </row>
    <row r="1926" spans="1:8" ht="21.75" customHeight="1" x14ac:dyDescent="0.15">
      <c r="A1926" s="250"/>
      <c r="B1926" s="23" t="s">
        <v>10</v>
      </c>
      <c r="C1926" s="22">
        <v>0</v>
      </c>
      <c r="D1926" s="86">
        <f t="shared" ref="D1926:H1928" si="48">QUOTIENT(0,1000000)</f>
        <v>0</v>
      </c>
      <c r="E1926" s="86">
        <f t="shared" si="48"/>
        <v>0</v>
      </c>
      <c r="F1926" s="87">
        <f t="shared" si="48"/>
        <v>0</v>
      </c>
      <c r="G1926" s="87">
        <f t="shared" si="48"/>
        <v>0</v>
      </c>
      <c r="H1926" s="88">
        <f t="shared" si="48"/>
        <v>0</v>
      </c>
    </row>
    <row r="1927" spans="1:8" ht="21.75" customHeight="1" x14ac:dyDescent="0.15">
      <c r="A1927" s="250"/>
      <c r="B1927" s="23" t="s">
        <v>9</v>
      </c>
      <c r="C1927" s="22">
        <v>0</v>
      </c>
      <c r="D1927" s="86">
        <f t="shared" si="48"/>
        <v>0</v>
      </c>
      <c r="E1927" s="86">
        <f t="shared" si="48"/>
        <v>0</v>
      </c>
      <c r="F1927" s="87">
        <f t="shared" si="48"/>
        <v>0</v>
      </c>
      <c r="G1927" s="87">
        <f t="shared" si="48"/>
        <v>0</v>
      </c>
      <c r="H1927" s="88">
        <f t="shared" si="48"/>
        <v>0</v>
      </c>
    </row>
    <row r="1928" spans="1:8" ht="21.75" customHeight="1" x14ac:dyDescent="0.15">
      <c r="A1928" s="250"/>
      <c r="B1928" s="23" t="s">
        <v>8</v>
      </c>
      <c r="C1928" s="22">
        <v>0</v>
      </c>
      <c r="D1928" s="86">
        <f t="shared" si="48"/>
        <v>0</v>
      </c>
      <c r="E1928" s="86">
        <f t="shared" si="48"/>
        <v>0</v>
      </c>
      <c r="F1928" s="87">
        <f t="shared" si="48"/>
        <v>0</v>
      </c>
      <c r="G1928" s="87">
        <f t="shared" si="48"/>
        <v>0</v>
      </c>
      <c r="H1928" s="88">
        <f t="shared" si="48"/>
        <v>0</v>
      </c>
    </row>
    <row r="1929" spans="1:8" ht="21.75" customHeight="1" x14ac:dyDescent="0.15">
      <c r="A1929" s="251"/>
      <c r="B1929" s="23" t="s">
        <v>7</v>
      </c>
      <c r="C1929" s="22">
        <v>30</v>
      </c>
      <c r="D1929" s="86">
        <f>QUOTIENT(17161900000,1000000)</f>
        <v>17161</v>
      </c>
      <c r="E1929" s="86">
        <f>QUOTIENT(466900000,1000000)</f>
        <v>466</v>
      </c>
      <c r="F1929" s="87">
        <f>QUOTIENT(14000000000,1000000)</f>
        <v>14000</v>
      </c>
      <c r="G1929" s="87">
        <f>QUOTIENT(2695000000,1000000)</f>
        <v>2695</v>
      </c>
      <c r="H1929" s="88">
        <f>QUOTIENT(0,1000000)</f>
        <v>0</v>
      </c>
    </row>
    <row r="1930" spans="1:8" ht="21.75" customHeight="1" x14ac:dyDescent="0.15">
      <c r="A1930" s="18" t="s">
        <v>6</v>
      </c>
      <c r="B1930" s="17" t="s">
        <v>5</v>
      </c>
      <c r="C1930" s="16">
        <v>3368</v>
      </c>
      <c r="D1930" s="80">
        <v>25522750</v>
      </c>
      <c r="E1930" s="80">
        <v>700400</v>
      </c>
      <c r="F1930" s="81">
        <v>14648631</v>
      </c>
      <c r="G1930" s="81">
        <v>8423819</v>
      </c>
      <c r="H1930" s="82">
        <v>1749900</v>
      </c>
    </row>
    <row r="1931" spans="1:8" ht="21.75" customHeight="1" x14ac:dyDescent="0.15">
      <c r="A1931" s="252" t="s">
        <v>4</v>
      </c>
      <c r="B1931" s="12" t="s">
        <v>3</v>
      </c>
      <c r="C1931" s="11">
        <v>5752</v>
      </c>
      <c r="D1931" s="89">
        <v>76629255</v>
      </c>
      <c r="E1931" s="89">
        <v>47042784</v>
      </c>
      <c r="F1931" s="90">
        <v>12581207</v>
      </c>
      <c r="G1931" s="90">
        <v>10326333</v>
      </c>
      <c r="H1931" s="91">
        <v>6678930</v>
      </c>
    </row>
    <row r="1932" spans="1:8" ht="21.75" customHeight="1" thickBot="1" x14ac:dyDescent="0.2">
      <c r="A1932" s="253"/>
      <c r="B1932" s="7" t="s">
        <v>1153</v>
      </c>
      <c r="C1932" s="6">
        <v>7138</v>
      </c>
      <c r="D1932" s="92" t="s">
        <v>2460</v>
      </c>
      <c r="E1932" s="92" t="s">
        <v>2460</v>
      </c>
      <c r="F1932" s="92" t="s">
        <v>2460</v>
      </c>
      <c r="G1932" s="92" t="s">
        <v>2460</v>
      </c>
      <c r="H1932" s="93" t="s">
        <v>2460</v>
      </c>
    </row>
    <row r="1933" spans="1:8" ht="18" customHeight="1" x14ac:dyDescent="0.15">
      <c r="A1933" s="3" t="s">
        <v>1155</v>
      </c>
      <c r="B1933" s="2"/>
      <c r="C1933" s="2"/>
      <c r="D1933" s="2"/>
      <c r="E1933" s="2"/>
      <c r="F1933" s="2"/>
      <c r="G1933" s="2"/>
      <c r="H1933" s="2"/>
    </row>
    <row r="1934" spans="1:8" ht="18" customHeight="1" x14ac:dyDescent="0.15">
      <c r="A1934" s="3" t="s">
        <v>2587</v>
      </c>
      <c r="B1934" s="2"/>
      <c r="C1934" s="2"/>
      <c r="D1934" s="2"/>
      <c r="E1934" s="2"/>
      <c r="F1934" s="2"/>
      <c r="G1934" s="2"/>
      <c r="H1934" s="2"/>
    </row>
    <row r="1935" spans="1:8" ht="18" customHeight="1" x14ac:dyDescent="0.15">
      <c r="A1935" s="3" t="s">
        <v>1156</v>
      </c>
      <c r="B1935" s="2"/>
      <c r="C1935" s="2"/>
      <c r="D1935" s="2"/>
      <c r="E1935" s="2"/>
      <c r="F1935" s="2"/>
      <c r="G1935" s="2"/>
      <c r="H1935" s="2"/>
    </row>
    <row r="1936" spans="1:8" ht="24" customHeight="1" x14ac:dyDescent="0.15">
      <c r="A1936" s="3" t="s">
        <v>2461</v>
      </c>
      <c r="B1936" s="2"/>
      <c r="C1936" s="2"/>
      <c r="D1936" s="2"/>
      <c r="E1936" s="2"/>
      <c r="F1936" s="2"/>
      <c r="G1936" s="2"/>
      <c r="H1936" s="2"/>
    </row>
    <row r="1937" spans="1:8" ht="24" customHeight="1" x14ac:dyDescent="0.15">
      <c r="A1937" s="230" t="s">
        <v>2457</v>
      </c>
      <c r="B1937" s="230"/>
      <c r="C1937" s="230"/>
      <c r="D1937" s="230"/>
      <c r="E1937" s="230"/>
      <c r="F1937" s="230"/>
      <c r="G1937" s="230"/>
      <c r="H1937" s="230"/>
    </row>
    <row r="1938" spans="1:8" ht="17.25" x14ac:dyDescent="0.15">
      <c r="A1938" s="231"/>
      <c r="B1938" s="231"/>
      <c r="C1938" s="231"/>
      <c r="D1938" s="231"/>
      <c r="E1938" s="231"/>
      <c r="F1938" s="231"/>
      <c r="G1938" s="231"/>
      <c r="H1938" s="231"/>
    </row>
    <row r="1939" spans="1:8" ht="18" customHeight="1" thickBot="1" x14ac:dyDescent="0.2">
      <c r="A1939" s="58" t="s">
        <v>48</v>
      </c>
    </row>
    <row r="1940" spans="1:8" ht="18" customHeight="1" x14ac:dyDescent="0.15">
      <c r="A1940" s="232" t="s">
        <v>47</v>
      </c>
      <c r="B1940" s="235" t="s">
        <v>46</v>
      </c>
      <c r="C1940" s="238" t="s">
        <v>45</v>
      </c>
      <c r="D1940" s="241" t="s">
        <v>44</v>
      </c>
      <c r="E1940" s="57"/>
      <c r="F1940" s="56"/>
      <c r="G1940" s="56"/>
      <c r="H1940" s="55"/>
    </row>
    <row r="1941" spans="1:8" ht="18" customHeight="1" x14ac:dyDescent="0.15">
      <c r="A1941" s="233"/>
      <c r="B1941" s="236"/>
      <c r="C1941" s="239"/>
      <c r="D1941" s="242"/>
      <c r="E1941" s="244" t="s">
        <v>43</v>
      </c>
      <c r="F1941" s="246" t="s">
        <v>42</v>
      </c>
      <c r="G1941" s="246" t="s">
        <v>41</v>
      </c>
      <c r="H1941" s="248" t="s">
        <v>40</v>
      </c>
    </row>
    <row r="1942" spans="1:8" s="60" customFormat="1" ht="18" customHeight="1" thickBot="1" x14ac:dyDescent="0.2">
      <c r="A1942" s="234"/>
      <c r="B1942" s="237"/>
      <c r="C1942" s="240"/>
      <c r="D1942" s="243"/>
      <c r="E1942" s="245"/>
      <c r="F1942" s="247"/>
      <c r="G1942" s="247"/>
      <c r="H1942" s="249"/>
    </row>
    <row r="1943" spans="1:8" ht="21.75" customHeight="1" thickTop="1" x14ac:dyDescent="0.15">
      <c r="A1943" s="54"/>
      <c r="B1943" s="53"/>
      <c r="C1943" s="52"/>
      <c r="D1943" s="51" t="s">
        <v>39</v>
      </c>
      <c r="E1943" s="50" t="s">
        <v>39</v>
      </c>
      <c r="F1943" s="49" t="s">
        <v>39</v>
      </c>
      <c r="G1943" s="49" t="s">
        <v>39</v>
      </c>
      <c r="H1943" s="48" t="s">
        <v>39</v>
      </c>
    </row>
    <row r="1944" spans="1:8" ht="21.75" customHeight="1" x14ac:dyDescent="0.15">
      <c r="A1944" s="250" t="s">
        <v>38</v>
      </c>
      <c r="B1944" s="61" t="s">
        <v>37</v>
      </c>
      <c r="C1944" s="62">
        <v>3820</v>
      </c>
      <c r="D1944" s="63">
        <f>QUOTIENT(612243071411170,1000000)</f>
        <v>612243071</v>
      </c>
      <c r="E1944" s="63">
        <f>QUOTIENT(231480084140211,1000000)</f>
        <v>231480084</v>
      </c>
      <c r="F1944" s="64">
        <f>QUOTIENT(186757886656247,1000000)</f>
        <v>186757886</v>
      </c>
      <c r="G1944" s="64">
        <f>QUOTIENT(190806783810037,1000000)</f>
        <v>190806783</v>
      </c>
      <c r="H1944" s="65">
        <f>QUOTIENT(3198316804675,1000000)</f>
        <v>3198316</v>
      </c>
    </row>
    <row r="1945" spans="1:8" ht="21.75" customHeight="1" x14ac:dyDescent="0.15">
      <c r="A1945" s="250"/>
      <c r="B1945" s="66" t="s">
        <v>36</v>
      </c>
      <c r="C1945" s="67">
        <v>22</v>
      </c>
      <c r="D1945" s="68">
        <f>QUOTIENT(260041883500,1000000)</f>
        <v>260041</v>
      </c>
      <c r="E1945" s="68">
        <f>QUOTIENT(80051956500,1000000)</f>
        <v>80051</v>
      </c>
      <c r="F1945" s="69">
        <f>QUOTIENT(166173546500,1000000)</f>
        <v>166173</v>
      </c>
      <c r="G1945" s="69">
        <f>QUOTIENT(13816380500,1000000)</f>
        <v>13816</v>
      </c>
      <c r="H1945" s="70">
        <f>QUOTIENT(0,1000000)</f>
        <v>0</v>
      </c>
    </row>
    <row r="1946" spans="1:8" ht="21.75" customHeight="1" x14ac:dyDescent="0.15">
      <c r="A1946" s="250"/>
      <c r="B1946" s="66" t="s">
        <v>35</v>
      </c>
      <c r="C1946" s="67">
        <v>83</v>
      </c>
      <c r="D1946" s="68">
        <f>QUOTIENT(0,1000000)</f>
        <v>0</v>
      </c>
      <c r="E1946" s="68">
        <f>QUOTIENT(0,1000000)</f>
        <v>0</v>
      </c>
      <c r="F1946" s="69">
        <f>QUOTIENT(0,1000000)</f>
        <v>0</v>
      </c>
      <c r="G1946" s="69">
        <f>QUOTIENT(0,1000000)</f>
        <v>0</v>
      </c>
      <c r="H1946" s="70">
        <f>QUOTIENT(0,1000000)</f>
        <v>0</v>
      </c>
    </row>
    <row r="1947" spans="1:8" ht="21.75" customHeight="1" x14ac:dyDescent="0.15">
      <c r="A1947" s="250"/>
      <c r="B1947" s="71" t="s">
        <v>34</v>
      </c>
      <c r="C1947" s="72">
        <v>1</v>
      </c>
      <c r="D1947" s="73">
        <f>QUOTIENT(160766394000,1000000)</f>
        <v>160766</v>
      </c>
      <c r="E1947" s="73">
        <f>QUOTIENT(121875392000,1000000)</f>
        <v>121875</v>
      </c>
      <c r="F1947" s="74">
        <f>QUOTIENT(7915717000,1000000)</f>
        <v>7915</v>
      </c>
      <c r="G1947" s="74">
        <f>QUOTIENT(29362904000,1000000)</f>
        <v>29362</v>
      </c>
      <c r="H1947" s="75">
        <f>QUOTIENT(1612381000,1000000)</f>
        <v>1612</v>
      </c>
    </row>
    <row r="1948" spans="1:8" ht="21.75" customHeight="1" x14ac:dyDescent="0.15">
      <c r="A1948" s="250"/>
      <c r="B1948" s="66" t="s">
        <v>33</v>
      </c>
      <c r="C1948" s="67">
        <v>70</v>
      </c>
      <c r="D1948" s="68">
        <f>QUOTIENT(13134692262360,1000000)</f>
        <v>13134692</v>
      </c>
      <c r="E1948" s="68">
        <f>QUOTIENT(3421619939010,1000000)</f>
        <v>3421619</v>
      </c>
      <c r="F1948" s="69">
        <f>QUOTIENT(3539227884560,1000000)</f>
        <v>3539227</v>
      </c>
      <c r="G1948" s="69">
        <f>QUOTIENT(6111264919530,1000000)</f>
        <v>6111264</v>
      </c>
      <c r="H1948" s="70">
        <f>QUOTIENT(62579519260,1000000)</f>
        <v>62579</v>
      </c>
    </row>
    <row r="1949" spans="1:8" ht="21.75" customHeight="1" x14ac:dyDescent="0.15">
      <c r="A1949" s="250"/>
      <c r="B1949" s="76" t="s">
        <v>32</v>
      </c>
      <c r="C1949" s="67">
        <v>182</v>
      </c>
      <c r="D1949" s="68">
        <f>QUOTIENT(44935716076457,1000000)</f>
        <v>44935716</v>
      </c>
      <c r="E1949" s="68">
        <f>QUOTIENT(3959805889485,1000000)</f>
        <v>3959805</v>
      </c>
      <c r="F1949" s="69">
        <f>QUOTIENT(1027407867066,1000000)</f>
        <v>1027407</v>
      </c>
      <c r="G1949" s="69">
        <f>QUOTIENT(39909367798937,1000000)</f>
        <v>39909367</v>
      </c>
      <c r="H1949" s="70">
        <f>QUOTIENT(39134520969,1000000)</f>
        <v>39134</v>
      </c>
    </row>
    <row r="1950" spans="1:8" ht="21.75" customHeight="1" x14ac:dyDescent="0.15">
      <c r="A1950" s="251"/>
      <c r="B1950" s="77" t="s">
        <v>31</v>
      </c>
      <c r="C1950" s="72">
        <v>41</v>
      </c>
      <c r="D1950" s="73">
        <f>QUOTIENT(420601718292,1000000)</f>
        <v>420601</v>
      </c>
      <c r="E1950" s="73">
        <f>QUOTIENT(370531620466,1000000)</f>
        <v>370531</v>
      </c>
      <c r="F1950" s="74">
        <f>QUOTIENT(2827012265,1000000)</f>
        <v>2827</v>
      </c>
      <c r="G1950" s="74">
        <f>QUOTIENT(45762069140,1000000)</f>
        <v>45762</v>
      </c>
      <c r="H1950" s="75">
        <f>QUOTIENT(1481016421,1000000)</f>
        <v>1481</v>
      </c>
    </row>
    <row r="1951" spans="1:8" ht="21.75" customHeight="1" x14ac:dyDescent="0.15">
      <c r="A1951" s="30" t="s">
        <v>30</v>
      </c>
      <c r="B1951" s="78" t="s">
        <v>29</v>
      </c>
      <c r="C1951" s="79">
        <v>28</v>
      </c>
      <c r="D1951" s="80">
        <f>QUOTIENT(92762654940,1000000)</f>
        <v>92762</v>
      </c>
      <c r="E1951" s="80">
        <f>QUOTIENT(89235912961,1000000)</f>
        <v>89235</v>
      </c>
      <c r="F1951" s="81">
        <f>QUOTIENT(600647271,1000000)</f>
        <v>600</v>
      </c>
      <c r="G1951" s="81">
        <f>QUOTIENT(559966900,1000000)</f>
        <v>559</v>
      </c>
      <c r="H1951" s="82">
        <f>QUOTIENT(2366127808,1000000)</f>
        <v>2366</v>
      </c>
    </row>
    <row r="1952" spans="1:8" ht="21.75" customHeight="1" x14ac:dyDescent="0.15">
      <c r="A1952" s="252" t="s">
        <v>28</v>
      </c>
      <c r="B1952" s="17" t="s">
        <v>27</v>
      </c>
      <c r="C1952" s="16">
        <v>3217</v>
      </c>
      <c r="D1952" s="83">
        <f>QUOTIENT(62154277070000,1000000)</f>
        <v>62154277</v>
      </c>
      <c r="E1952" s="83">
        <f>QUOTIENT(9508207090000,1000000)</f>
        <v>9508207</v>
      </c>
      <c r="F1952" s="84">
        <f>QUOTIENT(16808340040000,1000000)</f>
        <v>16808340</v>
      </c>
      <c r="G1952" s="84">
        <f>QUOTIENT(28215087440000,1000000)</f>
        <v>28215087</v>
      </c>
      <c r="H1952" s="85">
        <f>QUOTIENT(7622642500000,1000000)</f>
        <v>7622642</v>
      </c>
    </row>
    <row r="1953" spans="1:8" ht="21.75" customHeight="1" x14ac:dyDescent="0.15">
      <c r="A1953" s="250"/>
      <c r="B1953" s="23" t="s">
        <v>26</v>
      </c>
      <c r="C1953" s="22">
        <v>3445</v>
      </c>
      <c r="D1953" s="86">
        <f>QUOTIENT(14841791302000,1000000)</f>
        <v>14841791</v>
      </c>
      <c r="E1953" s="86">
        <f>QUOTIENT(567617230000,1000000)</f>
        <v>567617</v>
      </c>
      <c r="F1953" s="87">
        <f>QUOTIENT(7057365851000,1000000)</f>
        <v>7057365</v>
      </c>
      <c r="G1953" s="87">
        <f>QUOTIENT(5684134351000,1000000)</f>
        <v>5684134</v>
      </c>
      <c r="H1953" s="88">
        <f>QUOTIENT(1532673870000,1000000)</f>
        <v>1532673</v>
      </c>
    </row>
    <row r="1954" spans="1:8" ht="21.75" customHeight="1" x14ac:dyDescent="0.15">
      <c r="A1954" s="250"/>
      <c r="B1954" s="24" t="s">
        <v>25</v>
      </c>
      <c r="C1954" s="22">
        <v>626</v>
      </c>
      <c r="D1954" s="86">
        <f>QUOTIENT(27578160000000,1000000)</f>
        <v>27578160</v>
      </c>
      <c r="E1954" s="86">
        <f>QUOTIENT(1932599700000,1000000)</f>
        <v>1932599</v>
      </c>
      <c r="F1954" s="87">
        <f>QUOTIENT(9797434200000,1000000)</f>
        <v>9797434</v>
      </c>
      <c r="G1954" s="87">
        <f>QUOTIENT(12322476200000,1000000)</f>
        <v>12322476</v>
      </c>
      <c r="H1954" s="88">
        <f>QUOTIENT(3525649900000,1000000)</f>
        <v>3525649</v>
      </c>
    </row>
    <row r="1955" spans="1:8" ht="21.75" customHeight="1" x14ac:dyDescent="0.15">
      <c r="A1955" s="250"/>
      <c r="B1955" s="23" t="s">
        <v>24</v>
      </c>
      <c r="C1955" s="22">
        <v>1902</v>
      </c>
      <c r="D1955" s="86">
        <f>QUOTIENT(54659000000000,1000000)</f>
        <v>54659000</v>
      </c>
      <c r="E1955" s="86">
        <f>QUOTIENT(5750970300000,1000000)</f>
        <v>5750970</v>
      </c>
      <c r="F1955" s="87">
        <f>QUOTIENT(12945745400000,1000000)</f>
        <v>12945745</v>
      </c>
      <c r="G1955" s="87">
        <f>QUOTIENT(31923125300000,1000000)</f>
        <v>31923125</v>
      </c>
      <c r="H1955" s="88">
        <f>QUOTIENT(4039159000000,1000000)</f>
        <v>4039159</v>
      </c>
    </row>
    <row r="1956" spans="1:8" ht="21.75" customHeight="1" x14ac:dyDescent="0.15">
      <c r="A1956" s="250"/>
      <c r="B1956" s="23" t="s">
        <v>23</v>
      </c>
      <c r="C1956" s="22">
        <v>415</v>
      </c>
      <c r="D1956" s="86">
        <f>QUOTIENT(4746498000000,1000000)</f>
        <v>4746498</v>
      </c>
      <c r="E1956" s="86">
        <f>QUOTIENT(354236700000,1000000)</f>
        <v>354236</v>
      </c>
      <c r="F1956" s="87">
        <f>QUOTIENT(79199800000,1000000)</f>
        <v>79199</v>
      </c>
      <c r="G1956" s="87">
        <f>QUOTIENT(4279104500000,1000000)</f>
        <v>4279104</v>
      </c>
      <c r="H1956" s="88">
        <f>QUOTIENT(33957000000,1000000)</f>
        <v>33957</v>
      </c>
    </row>
    <row r="1957" spans="1:8" ht="21.75" customHeight="1" x14ac:dyDescent="0.15">
      <c r="A1957" s="250"/>
      <c r="B1957" s="23" t="s">
        <v>22</v>
      </c>
      <c r="C1957" s="22">
        <v>145</v>
      </c>
      <c r="D1957" s="86">
        <f>QUOTIENT(1225300000000,1000000)</f>
        <v>1225300</v>
      </c>
      <c r="E1957" s="86">
        <f>QUOTIENT(287670000000,1000000)</f>
        <v>287670</v>
      </c>
      <c r="F1957" s="87">
        <f>QUOTIENT(113400000000,1000000)</f>
        <v>113400</v>
      </c>
      <c r="G1957" s="87">
        <f>QUOTIENT(529330000000,1000000)</f>
        <v>529330</v>
      </c>
      <c r="H1957" s="88">
        <f>QUOTIENT(294900000000,1000000)</f>
        <v>294900</v>
      </c>
    </row>
    <row r="1958" spans="1:8" ht="21.75" customHeight="1" x14ac:dyDescent="0.15">
      <c r="A1958" s="250"/>
      <c r="B1958" s="23" t="s">
        <v>21</v>
      </c>
      <c r="C1958" s="22">
        <v>24</v>
      </c>
      <c r="D1958" s="86">
        <f>QUOTIENT(165302000000,1000000)</f>
        <v>165302</v>
      </c>
      <c r="E1958" s="86">
        <f>QUOTIENT(114328000000,1000000)</f>
        <v>114328</v>
      </c>
      <c r="F1958" s="87">
        <f>QUOTIENT(7127000000,1000000)</f>
        <v>7127</v>
      </c>
      <c r="G1958" s="87">
        <f>QUOTIENT(21571000000,1000000)</f>
        <v>21571</v>
      </c>
      <c r="H1958" s="88">
        <f>QUOTIENT(22276000000,1000000)</f>
        <v>22276</v>
      </c>
    </row>
    <row r="1959" spans="1:8" ht="21.75" customHeight="1" x14ac:dyDescent="0.15">
      <c r="A1959" s="250"/>
      <c r="B1959" s="23" t="s">
        <v>20</v>
      </c>
      <c r="C1959" s="22">
        <v>0</v>
      </c>
      <c r="D1959" s="86">
        <f>QUOTIENT(0,1000000)</f>
        <v>0</v>
      </c>
      <c r="E1959" s="86">
        <f>QUOTIENT(0,1000000)</f>
        <v>0</v>
      </c>
      <c r="F1959" s="87">
        <f>QUOTIENT(0,1000000)</f>
        <v>0</v>
      </c>
      <c r="G1959" s="87">
        <f>QUOTIENT(0,1000000)</f>
        <v>0</v>
      </c>
      <c r="H1959" s="88">
        <f>QUOTIENT(0,1000000)</f>
        <v>0</v>
      </c>
    </row>
    <row r="1960" spans="1:8" ht="21.75" customHeight="1" x14ac:dyDescent="0.15">
      <c r="A1960" s="250"/>
      <c r="B1960" s="23" t="s">
        <v>19</v>
      </c>
      <c r="C1960" s="22">
        <v>232</v>
      </c>
      <c r="D1960" s="86">
        <f>QUOTIENT(6608090000000,1000000)</f>
        <v>6608090</v>
      </c>
      <c r="E1960" s="86">
        <f>QUOTIENT(557500000000,1000000)</f>
        <v>557500</v>
      </c>
      <c r="F1960" s="87">
        <f>QUOTIENT(2684900000000,1000000)</f>
        <v>2684900</v>
      </c>
      <c r="G1960" s="87">
        <f>QUOTIENT(2586920000000,1000000)</f>
        <v>2586920</v>
      </c>
      <c r="H1960" s="88">
        <f>QUOTIENT(778770000000,1000000)</f>
        <v>778770</v>
      </c>
    </row>
    <row r="1961" spans="1:8" ht="21.75" customHeight="1" x14ac:dyDescent="0.15">
      <c r="A1961" s="250"/>
      <c r="B1961" s="23" t="s">
        <v>18</v>
      </c>
      <c r="C1961" s="22">
        <v>3592</v>
      </c>
      <c r="D1961" s="86">
        <f>QUOTIENT(70737822000000,1000000)</f>
        <v>70737822</v>
      </c>
      <c r="E1961" s="86">
        <f>QUOTIENT(17023919700000,1000000)</f>
        <v>17023919</v>
      </c>
      <c r="F1961" s="87">
        <f>QUOTIENT(14397208000000,1000000)</f>
        <v>14397208</v>
      </c>
      <c r="G1961" s="87">
        <f>QUOTIENT(30550057800000,1000000)</f>
        <v>30550057</v>
      </c>
      <c r="H1961" s="88">
        <f>QUOTIENT(8766636500000,1000000)</f>
        <v>8766636</v>
      </c>
    </row>
    <row r="1962" spans="1:8" ht="21.75" customHeight="1" x14ac:dyDescent="0.15">
      <c r="A1962" s="250"/>
      <c r="B1962" s="23" t="s">
        <v>17</v>
      </c>
      <c r="C1962" s="22">
        <v>649</v>
      </c>
      <c r="D1962" s="86">
        <f>QUOTIENT(15303060000000,1000000)</f>
        <v>15303060</v>
      </c>
      <c r="E1962" s="86">
        <f>QUOTIENT(3240080200000,1000000)</f>
        <v>3240080</v>
      </c>
      <c r="F1962" s="87">
        <f>QUOTIENT(3807627800000,1000000)</f>
        <v>3807627</v>
      </c>
      <c r="G1962" s="87">
        <f>QUOTIENT(6728312700000,1000000)</f>
        <v>6728312</v>
      </c>
      <c r="H1962" s="88">
        <f>QUOTIENT(1527039300000,1000000)</f>
        <v>1527039</v>
      </c>
    </row>
    <row r="1963" spans="1:8" ht="21.75" customHeight="1" x14ac:dyDescent="0.15">
      <c r="A1963" s="250"/>
      <c r="B1963" s="23" t="s">
        <v>16</v>
      </c>
      <c r="C1963" s="22">
        <v>61041</v>
      </c>
      <c r="D1963" s="86">
        <f>QUOTIENT(17356911753000,1000000)</f>
        <v>17356911</v>
      </c>
      <c r="E1963" s="86">
        <f>QUOTIENT(4979054400000,1000000)</f>
        <v>4979054</v>
      </c>
      <c r="F1963" s="87">
        <f>QUOTIENT(5178001634000,1000000)</f>
        <v>5178001</v>
      </c>
      <c r="G1963" s="87">
        <f>QUOTIENT(6786220719000,1000000)</f>
        <v>6786220</v>
      </c>
      <c r="H1963" s="88">
        <f>QUOTIENT(413635000000,1000000)</f>
        <v>413635</v>
      </c>
    </row>
    <row r="1964" spans="1:8" ht="21.75" customHeight="1" x14ac:dyDescent="0.15">
      <c r="A1964" s="250"/>
      <c r="B1964" s="23" t="s">
        <v>15</v>
      </c>
      <c r="C1964" s="22">
        <v>692</v>
      </c>
      <c r="D1964" s="86">
        <f>QUOTIENT(4705629031000,1000000)</f>
        <v>4705629</v>
      </c>
      <c r="E1964" s="86">
        <f>QUOTIENT(3977794800000,1000000)</f>
        <v>3977794</v>
      </c>
      <c r="F1964" s="87">
        <f>QUOTIENT(560465302000,1000000)</f>
        <v>560465</v>
      </c>
      <c r="G1964" s="87">
        <f>QUOTIENT(152368929000,1000000)</f>
        <v>152368</v>
      </c>
      <c r="H1964" s="88">
        <f>QUOTIENT(15000000000,1000000)</f>
        <v>15000</v>
      </c>
    </row>
    <row r="1965" spans="1:8" ht="21.75" customHeight="1" x14ac:dyDescent="0.15">
      <c r="A1965" s="250"/>
      <c r="B1965" s="23" t="s">
        <v>14</v>
      </c>
      <c r="C1965" s="22">
        <v>42</v>
      </c>
      <c r="D1965" s="86">
        <f>QUOTIENT(218900000000,1000000)</f>
        <v>218900</v>
      </c>
      <c r="E1965" s="86">
        <f>QUOTIENT(103150000000,1000000)</f>
        <v>103150</v>
      </c>
      <c r="F1965" s="87">
        <f>QUOTIENT(13600000000,1000000)</f>
        <v>13600</v>
      </c>
      <c r="G1965" s="87">
        <f>QUOTIENT(73148000000,1000000)</f>
        <v>73148</v>
      </c>
      <c r="H1965" s="88">
        <f>QUOTIENT(29002000000,1000000)</f>
        <v>29002</v>
      </c>
    </row>
    <row r="1966" spans="1:8" ht="21.75" customHeight="1" x14ac:dyDescent="0.15">
      <c r="A1966" s="250"/>
      <c r="B1966" s="23" t="s">
        <v>13</v>
      </c>
      <c r="C1966" s="22">
        <v>556</v>
      </c>
      <c r="D1966" s="86">
        <f>QUOTIENT(2703728337000,1000000)</f>
        <v>2703728</v>
      </c>
      <c r="E1966" s="86">
        <f>QUOTIENT(192001230000,1000000)</f>
        <v>192001</v>
      </c>
      <c r="F1966" s="87">
        <f>QUOTIENT(1355796107000,1000000)</f>
        <v>1355796</v>
      </c>
      <c r="G1966" s="87">
        <f>QUOTIENT(1091036000000,1000000)</f>
        <v>1091036</v>
      </c>
      <c r="H1966" s="88">
        <f>QUOTIENT(64895000000,1000000)</f>
        <v>64895</v>
      </c>
    </row>
    <row r="1967" spans="1:8" ht="21.75" customHeight="1" x14ac:dyDescent="0.15">
      <c r="A1967" s="250"/>
      <c r="B1967" s="23" t="s">
        <v>12</v>
      </c>
      <c r="C1967" s="22">
        <v>281</v>
      </c>
      <c r="D1967" s="86">
        <f>QUOTIENT(7897900000000,1000000)</f>
        <v>7897900</v>
      </c>
      <c r="E1967" s="86">
        <f>QUOTIENT(912195000000,1000000)</f>
        <v>912195</v>
      </c>
      <c r="F1967" s="87">
        <f>QUOTIENT(1711805000000,1000000)</f>
        <v>1711805</v>
      </c>
      <c r="G1967" s="87">
        <f>QUOTIENT(4485870000000,1000000)</f>
        <v>4485870</v>
      </c>
      <c r="H1967" s="88">
        <f>QUOTIENT(788030000000,1000000)</f>
        <v>788030</v>
      </c>
    </row>
    <row r="1968" spans="1:8" ht="21.75" customHeight="1" x14ac:dyDescent="0.15">
      <c r="A1968" s="250"/>
      <c r="B1968" s="23" t="s">
        <v>11</v>
      </c>
      <c r="C1968" s="22">
        <v>80</v>
      </c>
      <c r="D1968" s="86">
        <f>QUOTIENT(2029450000000,1000000)</f>
        <v>2029450</v>
      </c>
      <c r="E1968" s="86">
        <f>QUOTIENT(181800000000,1000000)</f>
        <v>181800</v>
      </c>
      <c r="F1968" s="87">
        <f>QUOTIENT(705650000000,1000000)</f>
        <v>705650</v>
      </c>
      <c r="G1968" s="87">
        <f>QUOTIENT(911500000000,1000000)</f>
        <v>911500</v>
      </c>
      <c r="H1968" s="88">
        <f>QUOTIENT(230500000000,1000000)</f>
        <v>230500</v>
      </c>
    </row>
    <row r="1969" spans="1:8" ht="21.75" customHeight="1" x14ac:dyDescent="0.15">
      <c r="A1969" s="250"/>
      <c r="B1969" s="23" t="s">
        <v>10</v>
      </c>
      <c r="C1969" s="22">
        <v>0</v>
      </c>
      <c r="D1969" s="86">
        <f t="shared" ref="D1969:H1971" si="49">QUOTIENT(0,1000000)</f>
        <v>0</v>
      </c>
      <c r="E1969" s="86">
        <f t="shared" si="49"/>
        <v>0</v>
      </c>
      <c r="F1969" s="87">
        <f t="shared" si="49"/>
        <v>0</v>
      </c>
      <c r="G1969" s="87">
        <f t="shared" si="49"/>
        <v>0</v>
      </c>
      <c r="H1969" s="88">
        <f t="shared" si="49"/>
        <v>0</v>
      </c>
    </row>
    <row r="1970" spans="1:8" ht="21.75" customHeight="1" x14ac:dyDescent="0.15">
      <c r="A1970" s="250"/>
      <c r="B1970" s="23" t="s">
        <v>9</v>
      </c>
      <c r="C1970" s="22">
        <v>0</v>
      </c>
      <c r="D1970" s="86">
        <f t="shared" si="49"/>
        <v>0</v>
      </c>
      <c r="E1970" s="86">
        <f t="shared" si="49"/>
        <v>0</v>
      </c>
      <c r="F1970" s="87">
        <f t="shared" si="49"/>
        <v>0</v>
      </c>
      <c r="G1970" s="87">
        <f t="shared" si="49"/>
        <v>0</v>
      </c>
      <c r="H1970" s="88">
        <f t="shared" si="49"/>
        <v>0</v>
      </c>
    </row>
    <row r="1971" spans="1:8" ht="21.75" customHeight="1" x14ac:dyDescent="0.15">
      <c r="A1971" s="250"/>
      <c r="B1971" s="23" t="s">
        <v>8</v>
      </c>
      <c r="C1971" s="22">
        <v>0</v>
      </c>
      <c r="D1971" s="86">
        <f t="shared" si="49"/>
        <v>0</v>
      </c>
      <c r="E1971" s="86">
        <f t="shared" si="49"/>
        <v>0</v>
      </c>
      <c r="F1971" s="87">
        <f t="shared" si="49"/>
        <v>0</v>
      </c>
      <c r="G1971" s="87">
        <f t="shared" si="49"/>
        <v>0</v>
      </c>
      <c r="H1971" s="88">
        <f t="shared" si="49"/>
        <v>0</v>
      </c>
    </row>
    <row r="1972" spans="1:8" ht="21.75" customHeight="1" x14ac:dyDescent="0.15">
      <c r="A1972" s="251"/>
      <c r="B1972" s="23" t="s">
        <v>7</v>
      </c>
      <c r="C1972" s="22">
        <v>31</v>
      </c>
      <c r="D1972" s="86">
        <f>QUOTIENT(17361900000,1000000)</f>
        <v>17361</v>
      </c>
      <c r="E1972" s="86">
        <f>QUOTIENT(466900000,1000000)</f>
        <v>466</v>
      </c>
      <c r="F1972" s="87">
        <f>QUOTIENT(14000000000,1000000)</f>
        <v>14000</v>
      </c>
      <c r="G1972" s="87">
        <f>QUOTIENT(2895000000,1000000)</f>
        <v>2895</v>
      </c>
      <c r="H1972" s="88">
        <f>QUOTIENT(0,1000000)</f>
        <v>0</v>
      </c>
    </row>
    <row r="1973" spans="1:8" ht="21.75" customHeight="1" x14ac:dyDescent="0.15">
      <c r="A1973" s="18" t="s">
        <v>6</v>
      </c>
      <c r="B1973" s="17" t="s">
        <v>5</v>
      </c>
      <c r="C1973" s="16">
        <v>3281</v>
      </c>
      <c r="D1973" s="80">
        <v>23594089</v>
      </c>
      <c r="E1973" s="80">
        <v>669600</v>
      </c>
      <c r="F1973" s="81">
        <v>13040712</v>
      </c>
      <c r="G1973" s="81">
        <v>8092077</v>
      </c>
      <c r="H1973" s="82">
        <v>1791700</v>
      </c>
    </row>
    <row r="1974" spans="1:8" ht="21.75" customHeight="1" x14ac:dyDescent="0.15">
      <c r="A1974" s="252" t="s">
        <v>4</v>
      </c>
      <c r="B1974" s="12" t="s">
        <v>3</v>
      </c>
      <c r="C1974" s="11">
        <v>5750</v>
      </c>
      <c r="D1974" s="89">
        <v>75310310</v>
      </c>
      <c r="E1974" s="89">
        <v>46051662</v>
      </c>
      <c r="F1974" s="90">
        <v>12380837</v>
      </c>
      <c r="G1974" s="90">
        <v>10244256</v>
      </c>
      <c r="H1974" s="91">
        <v>6633553</v>
      </c>
    </row>
    <row r="1975" spans="1:8" ht="21.75" customHeight="1" thickBot="1" x14ac:dyDescent="0.2">
      <c r="A1975" s="253"/>
      <c r="B1975" s="7" t="s">
        <v>1153</v>
      </c>
      <c r="C1975" s="6">
        <v>7072</v>
      </c>
      <c r="D1975" s="92" t="s">
        <v>2178</v>
      </c>
      <c r="E1975" s="92" t="s">
        <v>2178</v>
      </c>
      <c r="F1975" s="92" t="s">
        <v>2178</v>
      </c>
      <c r="G1975" s="92" t="s">
        <v>2178</v>
      </c>
      <c r="H1975" s="93" t="s">
        <v>2178</v>
      </c>
    </row>
    <row r="1976" spans="1:8" ht="18" customHeight="1" x14ac:dyDescent="0.15">
      <c r="A1976" s="3" t="s">
        <v>1155</v>
      </c>
      <c r="B1976" s="2"/>
      <c r="C1976" s="2"/>
      <c r="D1976" s="2"/>
      <c r="E1976" s="2"/>
      <c r="F1976" s="2"/>
      <c r="G1976" s="2"/>
      <c r="H1976" s="2"/>
    </row>
    <row r="1977" spans="1:8" ht="18" customHeight="1" x14ac:dyDescent="0.15">
      <c r="A1977" s="3" t="s">
        <v>2587</v>
      </c>
      <c r="B1977" s="2"/>
      <c r="C1977" s="2"/>
      <c r="D1977" s="2"/>
      <c r="E1977" s="2"/>
      <c r="F1977" s="2"/>
      <c r="G1977" s="2"/>
      <c r="H1977" s="2"/>
    </row>
    <row r="1978" spans="1:8" ht="18" customHeight="1" x14ac:dyDescent="0.15">
      <c r="A1978" s="3" t="s">
        <v>1156</v>
      </c>
      <c r="B1978" s="2"/>
      <c r="C1978" s="2"/>
      <c r="D1978" s="2"/>
      <c r="E1978" s="2"/>
      <c r="F1978" s="2"/>
      <c r="G1978" s="2"/>
      <c r="H1978" s="2"/>
    </row>
    <row r="1979" spans="1:8" ht="12" x14ac:dyDescent="0.15">
      <c r="A1979" s="3" t="s">
        <v>2458</v>
      </c>
      <c r="B1979" s="2"/>
      <c r="C1979" s="2"/>
      <c r="D1979" s="2"/>
      <c r="E1979" s="2"/>
      <c r="F1979" s="2"/>
      <c r="G1979" s="2"/>
      <c r="H1979" s="2"/>
    </row>
    <row r="1980" spans="1:8" ht="24" customHeight="1" x14ac:dyDescent="0.15">
      <c r="A1980" s="230" t="s">
        <v>2430</v>
      </c>
      <c r="B1980" s="230"/>
      <c r="C1980" s="230"/>
      <c r="D1980" s="230"/>
      <c r="E1980" s="230"/>
      <c r="F1980" s="230"/>
      <c r="G1980" s="230"/>
      <c r="H1980" s="230"/>
    </row>
    <row r="1981" spans="1:8" ht="17.25" x14ac:dyDescent="0.15">
      <c r="A1981" s="231"/>
      <c r="B1981" s="231"/>
      <c r="C1981" s="231"/>
      <c r="D1981" s="231"/>
      <c r="E1981" s="231"/>
      <c r="F1981" s="231"/>
      <c r="G1981" s="231"/>
      <c r="H1981" s="231"/>
    </row>
    <row r="1982" spans="1:8" ht="18" customHeight="1" thickBot="1" x14ac:dyDescent="0.2">
      <c r="A1982" s="58" t="s">
        <v>48</v>
      </c>
    </row>
    <row r="1983" spans="1:8" ht="18" customHeight="1" x14ac:dyDescent="0.15">
      <c r="A1983" s="232" t="s">
        <v>2431</v>
      </c>
      <c r="B1983" s="235" t="s">
        <v>2432</v>
      </c>
      <c r="C1983" s="238" t="s">
        <v>45</v>
      </c>
      <c r="D1983" s="241" t="s">
        <v>2433</v>
      </c>
      <c r="E1983" s="57"/>
      <c r="F1983" s="56"/>
      <c r="G1983" s="56"/>
      <c r="H1983" s="55"/>
    </row>
    <row r="1984" spans="1:8" ht="18" customHeight="1" x14ac:dyDescent="0.15">
      <c r="A1984" s="233"/>
      <c r="B1984" s="236"/>
      <c r="C1984" s="239"/>
      <c r="D1984" s="242"/>
      <c r="E1984" s="244" t="s">
        <v>2434</v>
      </c>
      <c r="F1984" s="246" t="s">
        <v>2435</v>
      </c>
      <c r="G1984" s="246" t="s">
        <v>2436</v>
      </c>
      <c r="H1984" s="248" t="s">
        <v>2437</v>
      </c>
    </row>
    <row r="1985" spans="1:8" s="60" customFormat="1" ht="18" customHeight="1" thickBot="1" x14ac:dyDescent="0.2">
      <c r="A1985" s="234"/>
      <c r="B1985" s="237"/>
      <c r="C1985" s="240"/>
      <c r="D1985" s="243"/>
      <c r="E1985" s="245"/>
      <c r="F1985" s="247"/>
      <c r="G1985" s="247"/>
      <c r="H1985" s="249"/>
    </row>
    <row r="1986" spans="1:8" ht="21.75" customHeight="1" thickTop="1" x14ac:dyDescent="0.15">
      <c r="A1986" s="54"/>
      <c r="B1986" s="53"/>
      <c r="C1986" s="52"/>
      <c r="D1986" s="51" t="s">
        <v>2438</v>
      </c>
      <c r="E1986" s="50" t="s">
        <v>2438</v>
      </c>
      <c r="F1986" s="49" t="s">
        <v>39</v>
      </c>
      <c r="G1986" s="49" t="s">
        <v>2438</v>
      </c>
      <c r="H1986" s="48" t="s">
        <v>2438</v>
      </c>
    </row>
    <row r="1987" spans="1:8" ht="21.75" customHeight="1" x14ac:dyDescent="0.15">
      <c r="A1987" s="250" t="s">
        <v>2439</v>
      </c>
      <c r="B1987" s="61" t="s">
        <v>2440</v>
      </c>
      <c r="C1987" s="62">
        <v>3819</v>
      </c>
      <c r="D1987" s="63">
        <f>QUOTIENT(619752484408594,1000000)</f>
        <v>619752484</v>
      </c>
      <c r="E1987" s="63">
        <f>QUOTIENT(235881998503078,1000000)</f>
        <v>235881998</v>
      </c>
      <c r="F1987" s="64">
        <f>QUOTIENT(189971459527130,1000000)</f>
        <v>189971459</v>
      </c>
      <c r="G1987" s="64">
        <f>QUOTIENT(190513954463347,1000000)</f>
        <v>190513954</v>
      </c>
      <c r="H1987" s="65">
        <f>QUOTIENT(3385071915038,1000000)</f>
        <v>3385071</v>
      </c>
    </row>
    <row r="1988" spans="1:8" ht="21.75" customHeight="1" x14ac:dyDescent="0.15">
      <c r="A1988" s="250"/>
      <c r="B1988" s="66" t="s">
        <v>36</v>
      </c>
      <c r="C1988" s="67">
        <v>23</v>
      </c>
      <c r="D1988" s="68">
        <f>QUOTIENT(259461919500,1000000)</f>
        <v>259461</v>
      </c>
      <c r="E1988" s="68">
        <f>QUOTIENT(91202250000,1000000)</f>
        <v>91202</v>
      </c>
      <c r="F1988" s="69">
        <f>QUOTIENT(153954174500,1000000)</f>
        <v>153954</v>
      </c>
      <c r="G1988" s="69">
        <f>QUOTIENT(14305495000,1000000)</f>
        <v>14305</v>
      </c>
      <c r="H1988" s="70">
        <f>QUOTIENT(0,1000000)</f>
        <v>0</v>
      </c>
    </row>
    <row r="1989" spans="1:8" ht="21.75" customHeight="1" x14ac:dyDescent="0.15">
      <c r="A1989" s="250"/>
      <c r="B1989" s="66" t="s">
        <v>2441</v>
      </c>
      <c r="C1989" s="67">
        <v>91</v>
      </c>
      <c r="D1989" s="68">
        <f>QUOTIENT(0,1000000)</f>
        <v>0</v>
      </c>
      <c r="E1989" s="68">
        <f>QUOTIENT(0,1000000)</f>
        <v>0</v>
      </c>
      <c r="F1989" s="69">
        <f>QUOTIENT(0,1000000)</f>
        <v>0</v>
      </c>
      <c r="G1989" s="69">
        <f>QUOTIENT(0,1000000)</f>
        <v>0</v>
      </c>
      <c r="H1989" s="70">
        <f>QUOTIENT(0,1000000)</f>
        <v>0</v>
      </c>
    </row>
    <row r="1990" spans="1:8" ht="21.75" customHeight="1" x14ac:dyDescent="0.15">
      <c r="A1990" s="250"/>
      <c r="B1990" s="71" t="s">
        <v>34</v>
      </c>
      <c r="C1990" s="72">
        <v>1</v>
      </c>
      <c r="D1990" s="73">
        <f>QUOTIENT(164519970600,1000000)</f>
        <v>164519</v>
      </c>
      <c r="E1990" s="73">
        <f>QUOTIENT(123889074500,1000000)</f>
        <v>123889</v>
      </c>
      <c r="F1990" s="74">
        <f>QUOTIENT(8140024300,1000000)</f>
        <v>8140</v>
      </c>
      <c r="G1990" s="74">
        <f>QUOTIENT(30840844900,1000000)</f>
        <v>30840</v>
      </c>
      <c r="H1990" s="75">
        <f>QUOTIENT(1650026900,1000000)</f>
        <v>1650</v>
      </c>
    </row>
    <row r="1991" spans="1:8" ht="21.75" customHeight="1" x14ac:dyDescent="0.15">
      <c r="A1991" s="250"/>
      <c r="B1991" s="66" t="s">
        <v>2442</v>
      </c>
      <c r="C1991" s="67">
        <v>70</v>
      </c>
      <c r="D1991" s="68">
        <f>QUOTIENT(13365715834750,1000000)</f>
        <v>13365715</v>
      </c>
      <c r="E1991" s="68">
        <f>QUOTIENT(3489979255200,1000000)</f>
        <v>3489979</v>
      </c>
      <c r="F1991" s="69">
        <f>QUOTIENT(3616811189350,1000000)</f>
        <v>3616811</v>
      </c>
      <c r="G1991" s="69">
        <f>QUOTIENT(6189439604730,1000000)</f>
        <v>6189439</v>
      </c>
      <c r="H1991" s="70">
        <f>QUOTIENT(69485785470,1000000)</f>
        <v>69485</v>
      </c>
    </row>
    <row r="1992" spans="1:8" ht="21.75" customHeight="1" x14ac:dyDescent="0.15">
      <c r="A1992" s="250"/>
      <c r="B1992" s="76" t="s">
        <v>32</v>
      </c>
      <c r="C1992" s="67">
        <v>181</v>
      </c>
      <c r="D1992" s="68">
        <f>QUOTIENT(44396099395897,1000000)</f>
        <v>44396099</v>
      </c>
      <c r="E1992" s="68">
        <f>QUOTIENT(4097688671802,1000000)</f>
        <v>4097688</v>
      </c>
      <c r="F1992" s="69">
        <f>QUOTIENT(1004931022406,1000000)</f>
        <v>1004931</v>
      </c>
      <c r="G1992" s="69">
        <f>QUOTIENT(39252565592608,1000000)</f>
        <v>39252565</v>
      </c>
      <c r="H1992" s="70">
        <f>QUOTIENT(40914109081,1000000)</f>
        <v>40914</v>
      </c>
    </row>
    <row r="1993" spans="1:8" ht="21.75" customHeight="1" x14ac:dyDescent="0.15">
      <c r="A1993" s="251"/>
      <c r="B1993" s="77" t="s">
        <v>2443</v>
      </c>
      <c r="C1993" s="72">
        <v>41</v>
      </c>
      <c r="D1993" s="73">
        <f>QUOTIENT(397705358243,1000000)</f>
        <v>397705</v>
      </c>
      <c r="E1993" s="73">
        <f>QUOTIENT(352485351171,1000000)</f>
        <v>352485</v>
      </c>
      <c r="F1993" s="74">
        <f>QUOTIENT(2726642875,1000000)</f>
        <v>2726</v>
      </c>
      <c r="G1993" s="74">
        <f>QUOTIENT(40828364620,1000000)</f>
        <v>40828</v>
      </c>
      <c r="H1993" s="75">
        <f>QUOTIENT(1664999577,1000000)</f>
        <v>1664</v>
      </c>
    </row>
    <row r="1994" spans="1:8" ht="21.75" customHeight="1" x14ac:dyDescent="0.15">
      <c r="A1994" s="30" t="s">
        <v>30</v>
      </c>
      <c r="B1994" s="78" t="s">
        <v>2444</v>
      </c>
      <c r="C1994" s="79">
        <v>28</v>
      </c>
      <c r="D1994" s="80">
        <f>QUOTIENT(91261459303,1000000)</f>
        <v>91261</v>
      </c>
      <c r="E1994" s="80">
        <f>QUOTIENT(87758527539,1000000)</f>
        <v>87758</v>
      </c>
      <c r="F1994" s="81">
        <f>QUOTIENT(652702292,1000000)</f>
        <v>652</v>
      </c>
      <c r="G1994" s="81">
        <f>QUOTIENT(549881920,1000000)</f>
        <v>549</v>
      </c>
      <c r="H1994" s="82">
        <f>QUOTIENT(2300347552,1000000)</f>
        <v>2300</v>
      </c>
    </row>
    <row r="1995" spans="1:8" ht="21.75" customHeight="1" x14ac:dyDescent="0.15">
      <c r="A1995" s="252" t="s">
        <v>28</v>
      </c>
      <c r="B1995" s="17" t="s">
        <v>27</v>
      </c>
      <c r="C1995" s="16">
        <v>3213</v>
      </c>
      <c r="D1995" s="83">
        <f>QUOTIENT(62211677070000,1000000)</f>
        <v>62211677</v>
      </c>
      <c r="E1995" s="83">
        <f>QUOTIENT(9466231690000,1000000)</f>
        <v>9466231</v>
      </c>
      <c r="F1995" s="84">
        <f>QUOTIENT(15753310430000,1000000)</f>
        <v>15753310</v>
      </c>
      <c r="G1995" s="84">
        <f>QUOTIENT(29115179480000,1000000)</f>
        <v>29115179</v>
      </c>
      <c r="H1995" s="85">
        <f>QUOTIENT(7876955470000,1000000)</f>
        <v>7876955</v>
      </c>
    </row>
    <row r="1996" spans="1:8" ht="21.75" customHeight="1" x14ac:dyDescent="0.15">
      <c r="A1996" s="250"/>
      <c r="B1996" s="23" t="s">
        <v>26</v>
      </c>
      <c r="C1996" s="22">
        <v>3442</v>
      </c>
      <c r="D1996" s="86">
        <f>QUOTIENT(14825008319000,1000000)</f>
        <v>14825008</v>
      </c>
      <c r="E1996" s="86">
        <f>QUOTIENT(605272130000,1000000)</f>
        <v>605272</v>
      </c>
      <c r="F1996" s="87">
        <f>QUOTIENT(6402965253000,1000000)</f>
        <v>6402965</v>
      </c>
      <c r="G1996" s="87">
        <f>QUOTIENT(6231702366000,1000000)</f>
        <v>6231702</v>
      </c>
      <c r="H1996" s="88">
        <f>QUOTIENT(1585068570000,1000000)</f>
        <v>1585068</v>
      </c>
    </row>
    <row r="1997" spans="1:8" ht="21.75" customHeight="1" x14ac:dyDescent="0.15">
      <c r="A1997" s="250"/>
      <c r="B1997" s="24" t="s">
        <v>25</v>
      </c>
      <c r="C1997" s="22">
        <v>624</v>
      </c>
      <c r="D1997" s="86">
        <f>QUOTIENT(27750760000000,1000000)</f>
        <v>27750760</v>
      </c>
      <c r="E1997" s="86">
        <f>QUOTIENT(1952231700000,1000000)</f>
        <v>1952231</v>
      </c>
      <c r="F1997" s="87">
        <f>QUOTIENT(9762675800000,1000000)</f>
        <v>9762675</v>
      </c>
      <c r="G1997" s="87">
        <f>QUOTIENT(12573300200000,1000000)</f>
        <v>12573300</v>
      </c>
      <c r="H1997" s="88">
        <f>QUOTIENT(3462552300000,1000000)</f>
        <v>3462552</v>
      </c>
    </row>
    <row r="1998" spans="1:8" ht="21.75" customHeight="1" x14ac:dyDescent="0.15">
      <c r="A1998" s="250"/>
      <c r="B1998" s="23" t="s">
        <v>24</v>
      </c>
      <c r="C1998" s="22">
        <v>1897</v>
      </c>
      <c r="D1998" s="86">
        <f>QUOTIENT(54491700000000,1000000)</f>
        <v>54491700</v>
      </c>
      <c r="E1998" s="86">
        <f>QUOTIENT(5655140300000,1000000)</f>
        <v>5655140</v>
      </c>
      <c r="F1998" s="87">
        <f>QUOTIENT(12304175400000,1000000)</f>
        <v>12304175</v>
      </c>
      <c r="G1998" s="87">
        <f>QUOTIENT(32273825300000,1000000)</f>
        <v>32273825</v>
      </c>
      <c r="H1998" s="88">
        <f>QUOTIENT(4258559000000,1000000)</f>
        <v>4258559</v>
      </c>
    </row>
    <row r="1999" spans="1:8" ht="21.75" customHeight="1" x14ac:dyDescent="0.15">
      <c r="A1999" s="250"/>
      <c r="B1999" s="23" t="s">
        <v>2445</v>
      </c>
      <c r="C1999" s="22">
        <v>412</v>
      </c>
      <c r="D1999" s="86">
        <f>QUOTIENT(4728250000000,1000000)</f>
        <v>4728250</v>
      </c>
      <c r="E1999" s="86">
        <f>QUOTIENT(354848300000,1000000)</f>
        <v>354848</v>
      </c>
      <c r="F1999" s="87">
        <f>QUOTIENT(79294100000,1000000)</f>
        <v>79294</v>
      </c>
      <c r="G1999" s="87">
        <f>QUOTIENT(4256544600000,1000000)</f>
        <v>4256544</v>
      </c>
      <c r="H1999" s="88">
        <f>QUOTIENT(37563000000,1000000)</f>
        <v>37563</v>
      </c>
    </row>
    <row r="2000" spans="1:8" ht="21.75" customHeight="1" x14ac:dyDescent="0.15">
      <c r="A2000" s="250"/>
      <c r="B2000" s="23" t="s">
        <v>2446</v>
      </c>
      <c r="C2000" s="22">
        <v>145</v>
      </c>
      <c r="D2000" s="86">
        <f>QUOTIENT(1242300000000,1000000)</f>
        <v>1242300</v>
      </c>
      <c r="E2000" s="86">
        <f>QUOTIENT(296370000000,1000000)</f>
        <v>296370</v>
      </c>
      <c r="F2000" s="87">
        <f>QUOTIENT(112800000000,1000000)</f>
        <v>112800</v>
      </c>
      <c r="G2000" s="87">
        <f>QUOTIENT(536430000000,1000000)</f>
        <v>536430</v>
      </c>
      <c r="H2000" s="88">
        <f>QUOTIENT(296700000000,1000000)</f>
        <v>296700</v>
      </c>
    </row>
    <row r="2001" spans="1:8" ht="21.75" customHeight="1" x14ac:dyDescent="0.15">
      <c r="A2001" s="250"/>
      <c r="B2001" s="23" t="s">
        <v>21</v>
      </c>
      <c r="C2001" s="22">
        <v>24</v>
      </c>
      <c r="D2001" s="86">
        <f>QUOTIENT(165302000000,1000000)</f>
        <v>165302</v>
      </c>
      <c r="E2001" s="86">
        <f>QUOTIENT(114328000000,1000000)</f>
        <v>114328</v>
      </c>
      <c r="F2001" s="87">
        <f>QUOTIENT(7127000000,1000000)</f>
        <v>7127</v>
      </c>
      <c r="G2001" s="87">
        <f>QUOTIENT(21571000000,1000000)</f>
        <v>21571</v>
      </c>
      <c r="H2001" s="88">
        <f>QUOTIENT(22276000000,1000000)</f>
        <v>22276</v>
      </c>
    </row>
    <row r="2002" spans="1:8" ht="21.75" customHeight="1" x14ac:dyDescent="0.15">
      <c r="A2002" s="250"/>
      <c r="B2002" s="23" t="s">
        <v>2447</v>
      </c>
      <c r="C2002" s="22">
        <v>0</v>
      </c>
      <c r="D2002" s="86">
        <f>QUOTIENT(0,1000000)</f>
        <v>0</v>
      </c>
      <c r="E2002" s="86">
        <f>QUOTIENT(0,1000000)</f>
        <v>0</v>
      </c>
      <c r="F2002" s="87">
        <f>QUOTIENT(0,1000000)</f>
        <v>0</v>
      </c>
      <c r="G2002" s="87">
        <f>QUOTIENT(0,1000000)</f>
        <v>0</v>
      </c>
      <c r="H2002" s="88">
        <f>QUOTIENT(0,1000000)</f>
        <v>0</v>
      </c>
    </row>
    <row r="2003" spans="1:8" ht="21.75" customHeight="1" x14ac:dyDescent="0.15">
      <c r="A2003" s="250"/>
      <c r="B2003" s="23" t="s">
        <v>19</v>
      </c>
      <c r="C2003" s="22">
        <v>232</v>
      </c>
      <c r="D2003" s="86">
        <f>QUOTIENT(6695230000000,1000000)</f>
        <v>6695230</v>
      </c>
      <c r="E2003" s="86">
        <f>QUOTIENT(564750000000,1000000)</f>
        <v>564750</v>
      </c>
      <c r="F2003" s="87">
        <f>QUOTIENT(2688770000000,1000000)</f>
        <v>2688770</v>
      </c>
      <c r="G2003" s="87">
        <f>QUOTIENT(2698550000000,1000000)</f>
        <v>2698550</v>
      </c>
      <c r="H2003" s="88">
        <f>QUOTIENT(743160000000,1000000)</f>
        <v>743160</v>
      </c>
    </row>
    <row r="2004" spans="1:8" ht="21.75" customHeight="1" x14ac:dyDescent="0.15">
      <c r="A2004" s="250"/>
      <c r="B2004" s="23" t="s">
        <v>18</v>
      </c>
      <c r="C2004" s="22">
        <v>3579</v>
      </c>
      <c r="D2004" s="86">
        <f>QUOTIENT(70495101000000,1000000)</f>
        <v>70495101</v>
      </c>
      <c r="E2004" s="86">
        <f>QUOTIENT(17030179000000,1000000)</f>
        <v>17030179</v>
      </c>
      <c r="F2004" s="87">
        <f>QUOTIENT(13066215800000,1000000)</f>
        <v>13066215</v>
      </c>
      <c r="G2004" s="87">
        <f>QUOTIENT(31472707700000,1000000)</f>
        <v>31472707</v>
      </c>
      <c r="H2004" s="88">
        <f>QUOTIENT(8925998500000,1000000)</f>
        <v>8925998</v>
      </c>
    </row>
    <row r="2005" spans="1:8" ht="21.75" customHeight="1" x14ac:dyDescent="0.15">
      <c r="A2005" s="250"/>
      <c r="B2005" s="23" t="s">
        <v>2448</v>
      </c>
      <c r="C2005" s="22">
        <v>654</v>
      </c>
      <c r="D2005" s="86">
        <f>QUOTIENT(15488060000000,1000000)</f>
        <v>15488060</v>
      </c>
      <c r="E2005" s="86">
        <f>QUOTIENT(3288159400000,1000000)</f>
        <v>3288159</v>
      </c>
      <c r="F2005" s="87">
        <f>QUOTIENT(3435284700000,1000000)</f>
        <v>3435284</v>
      </c>
      <c r="G2005" s="87">
        <f>QUOTIENT(7171417600000,1000000)</f>
        <v>7171417</v>
      </c>
      <c r="H2005" s="88">
        <f>QUOTIENT(1593198300000,1000000)</f>
        <v>1593198</v>
      </c>
    </row>
    <row r="2006" spans="1:8" ht="21.75" customHeight="1" x14ac:dyDescent="0.15">
      <c r="A2006" s="250"/>
      <c r="B2006" s="23" t="s">
        <v>2449</v>
      </c>
      <c r="C2006" s="22">
        <v>61020</v>
      </c>
      <c r="D2006" s="86">
        <f>QUOTIENT(17414167368000,1000000)</f>
        <v>17414167</v>
      </c>
      <c r="E2006" s="86">
        <f>QUOTIENT(5038962915000,1000000)</f>
        <v>5038962</v>
      </c>
      <c r="F2006" s="87">
        <f>QUOTIENT(5192126634000,1000000)</f>
        <v>5192126</v>
      </c>
      <c r="G2006" s="87">
        <f>QUOTIENT(6773592819000,1000000)</f>
        <v>6773592</v>
      </c>
      <c r="H2006" s="88">
        <f>QUOTIENT(409485000000,1000000)</f>
        <v>409485</v>
      </c>
    </row>
    <row r="2007" spans="1:8" ht="21.75" customHeight="1" x14ac:dyDescent="0.15">
      <c r="A2007" s="250"/>
      <c r="B2007" s="23" t="s">
        <v>2450</v>
      </c>
      <c r="C2007" s="22">
        <v>699</v>
      </c>
      <c r="D2007" s="86">
        <f>QUOTIENT(4766237546000,1000000)</f>
        <v>4766237</v>
      </c>
      <c r="E2007" s="86">
        <f>QUOTIENT(4038403315000,1000000)</f>
        <v>4038403</v>
      </c>
      <c r="F2007" s="87">
        <f>QUOTIENT(560465302000,1000000)</f>
        <v>560465</v>
      </c>
      <c r="G2007" s="87">
        <f>QUOTIENT(152368929000,1000000)</f>
        <v>152368</v>
      </c>
      <c r="H2007" s="88">
        <f>QUOTIENT(15000000000,1000000)</f>
        <v>15000</v>
      </c>
    </row>
    <row r="2008" spans="1:8" ht="21.75" customHeight="1" x14ac:dyDescent="0.15">
      <c r="A2008" s="250"/>
      <c r="B2008" s="23" t="s">
        <v>2451</v>
      </c>
      <c r="C2008" s="22">
        <v>42</v>
      </c>
      <c r="D2008" s="86">
        <f>QUOTIENT(218900000000,1000000)</f>
        <v>218900</v>
      </c>
      <c r="E2008" s="86">
        <f>QUOTIENT(103451000000,1000000)</f>
        <v>103451</v>
      </c>
      <c r="F2008" s="87">
        <f>QUOTIENT(13300000000,1000000)</f>
        <v>13300</v>
      </c>
      <c r="G2008" s="87">
        <f>QUOTIENT(73047000000,1000000)</f>
        <v>73047</v>
      </c>
      <c r="H2008" s="88">
        <f>QUOTIENT(29102000000,1000000)</f>
        <v>29102</v>
      </c>
    </row>
    <row r="2009" spans="1:8" ht="21.75" customHeight="1" x14ac:dyDescent="0.15">
      <c r="A2009" s="250"/>
      <c r="B2009" s="23" t="s">
        <v>2452</v>
      </c>
      <c r="C2009" s="22">
        <v>557</v>
      </c>
      <c r="D2009" s="86">
        <f>QUOTIENT(2698305837000,1000000)</f>
        <v>2698305</v>
      </c>
      <c r="E2009" s="86">
        <f>QUOTIENT(197001230000,1000000)</f>
        <v>197001</v>
      </c>
      <c r="F2009" s="87">
        <f>QUOTIENT(1351296107000,1000000)</f>
        <v>1351296</v>
      </c>
      <c r="G2009" s="87">
        <f>QUOTIENT(1085113500000,1000000)</f>
        <v>1085113</v>
      </c>
      <c r="H2009" s="88">
        <f>QUOTIENT(64895000000,1000000)</f>
        <v>64895</v>
      </c>
    </row>
    <row r="2010" spans="1:8" ht="21.75" customHeight="1" x14ac:dyDescent="0.15">
      <c r="A2010" s="250"/>
      <c r="B2010" s="23" t="s">
        <v>2453</v>
      </c>
      <c r="C2010" s="22">
        <v>287</v>
      </c>
      <c r="D2010" s="86">
        <f>QUOTIENT(8262700000000,1000000)</f>
        <v>8262700</v>
      </c>
      <c r="E2010" s="86">
        <f>QUOTIENT(907995000000,1000000)</f>
        <v>907995</v>
      </c>
      <c r="F2010" s="87">
        <f>QUOTIENT(1757305000000,1000000)</f>
        <v>1757305</v>
      </c>
      <c r="G2010" s="87">
        <f>QUOTIENT(4790570000000,1000000)</f>
        <v>4790570</v>
      </c>
      <c r="H2010" s="88">
        <f>QUOTIENT(806830000000,1000000)</f>
        <v>806830</v>
      </c>
    </row>
    <row r="2011" spans="1:8" ht="21.75" customHeight="1" x14ac:dyDescent="0.15">
      <c r="A2011" s="250"/>
      <c r="B2011" s="23" t="s">
        <v>11</v>
      </c>
      <c r="C2011" s="22">
        <v>78</v>
      </c>
      <c r="D2011" s="86">
        <f>QUOTIENT(2023450000000,1000000)</f>
        <v>2023450</v>
      </c>
      <c r="E2011" s="86">
        <f>QUOTIENT(181000000000,1000000)</f>
        <v>181000</v>
      </c>
      <c r="F2011" s="87">
        <f>QUOTIENT(699450000000,1000000)</f>
        <v>699450</v>
      </c>
      <c r="G2011" s="87">
        <f>QUOTIENT(912500000000,1000000)</f>
        <v>912500</v>
      </c>
      <c r="H2011" s="88">
        <f>QUOTIENT(230500000000,1000000)</f>
        <v>230500</v>
      </c>
    </row>
    <row r="2012" spans="1:8" ht="21.75" customHeight="1" x14ac:dyDescent="0.15">
      <c r="A2012" s="250"/>
      <c r="B2012" s="23" t="s">
        <v>2454</v>
      </c>
      <c r="C2012" s="22">
        <v>0</v>
      </c>
      <c r="D2012" s="86">
        <f t="shared" ref="D2012:H2014" si="50">QUOTIENT(0,1000000)</f>
        <v>0</v>
      </c>
      <c r="E2012" s="86">
        <f t="shared" si="50"/>
        <v>0</v>
      </c>
      <c r="F2012" s="87">
        <f t="shared" si="50"/>
        <v>0</v>
      </c>
      <c r="G2012" s="87">
        <f t="shared" si="50"/>
        <v>0</v>
      </c>
      <c r="H2012" s="88">
        <f t="shared" si="50"/>
        <v>0</v>
      </c>
    </row>
    <row r="2013" spans="1:8" ht="21.75" customHeight="1" x14ac:dyDescent="0.15">
      <c r="A2013" s="250"/>
      <c r="B2013" s="23" t="s">
        <v>9</v>
      </c>
      <c r="C2013" s="22">
        <v>0</v>
      </c>
      <c r="D2013" s="86">
        <f t="shared" si="50"/>
        <v>0</v>
      </c>
      <c r="E2013" s="86">
        <f t="shared" si="50"/>
        <v>0</v>
      </c>
      <c r="F2013" s="87">
        <f t="shared" si="50"/>
        <v>0</v>
      </c>
      <c r="G2013" s="87">
        <f t="shared" si="50"/>
        <v>0</v>
      </c>
      <c r="H2013" s="88">
        <f t="shared" si="50"/>
        <v>0</v>
      </c>
    </row>
    <row r="2014" spans="1:8" ht="21.75" customHeight="1" x14ac:dyDescent="0.15">
      <c r="A2014" s="250"/>
      <c r="B2014" s="23" t="s">
        <v>8</v>
      </c>
      <c r="C2014" s="22">
        <v>0</v>
      </c>
      <c r="D2014" s="86">
        <f t="shared" si="50"/>
        <v>0</v>
      </c>
      <c r="E2014" s="86">
        <f t="shared" si="50"/>
        <v>0</v>
      </c>
      <c r="F2014" s="87">
        <f t="shared" si="50"/>
        <v>0</v>
      </c>
      <c r="G2014" s="87">
        <f t="shared" si="50"/>
        <v>0</v>
      </c>
      <c r="H2014" s="88">
        <f t="shared" si="50"/>
        <v>0</v>
      </c>
    </row>
    <row r="2015" spans="1:8" ht="21.75" customHeight="1" x14ac:dyDescent="0.15">
      <c r="A2015" s="251"/>
      <c r="B2015" s="23" t="s">
        <v>7</v>
      </c>
      <c r="C2015" s="22">
        <v>31</v>
      </c>
      <c r="D2015" s="86">
        <f>QUOTIENT(17361900000,1000000)</f>
        <v>17361</v>
      </c>
      <c r="E2015" s="86">
        <f>QUOTIENT(466900000,1000000)</f>
        <v>466</v>
      </c>
      <c r="F2015" s="87">
        <f>QUOTIENT(14000000000,1000000)</f>
        <v>14000</v>
      </c>
      <c r="G2015" s="87">
        <f>QUOTIENT(2895000000,1000000)</f>
        <v>2895</v>
      </c>
      <c r="H2015" s="88">
        <f>QUOTIENT(0,1000000)</f>
        <v>0</v>
      </c>
    </row>
    <row r="2016" spans="1:8" ht="21.75" customHeight="1" x14ac:dyDescent="0.15">
      <c r="A2016" s="18" t="s">
        <v>6</v>
      </c>
      <c r="B2016" s="17" t="s">
        <v>5</v>
      </c>
      <c r="C2016" s="16">
        <v>3396</v>
      </c>
      <c r="D2016" s="80">
        <v>24288090</v>
      </c>
      <c r="E2016" s="80">
        <v>740700</v>
      </c>
      <c r="F2016" s="81">
        <v>12757449</v>
      </c>
      <c r="G2016" s="81">
        <v>8529041</v>
      </c>
      <c r="H2016" s="82">
        <v>2260900</v>
      </c>
    </row>
    <row r="2017" spans="1:8" ht="21.75" customHeight="1" x14ac:dyDescent="0.15">
      <c r="A2017" s="252" t="s">
        <v>4</v>
      </c>
      <c r="B2017" s="12" t="s">
        <v>3</v>
      </c>
      <c r="C2017" s="11">
        <v>5766</v>
      </c>
      <c r="D2017" s="89">
        <v>74147999</v>
      </c>
      <c r="E2017" s="89">
        <v>45026990</v>
      </c>
      <c r="F2017" s="90">
        <v>12321432</v>
      </c>
      <c r="G2017" s="90">
        <v>10213052</v>
      </c>
      <c r="H2017" s="91">
        <v>6586523</v>
      </c>
    </row>
    <row r="2018" spans="1:8" ht="21.75" customHeight="1" thickBot="1" x14ac:dyDescent="0.2">
      <c r="A2018" s="253"/>
      <c r="B2018" s="7" t="s">
        <v>1153</v>
      </c>
      <c r="C2018" s="6">
        <v>7028</v>
      </c>
      <c r="D2018" s="92" t="s">
        <v>1</v>
      </c>
      <c r="E2018" s="92" t="s">
        <v>1</v>
      </c>
      <c r="F2018" s="92" t="s">
        <v>2455</v>
      </c>
      <c r="G2018" s="92" t="s">
        <v>1</v>
      </c>
      <c r="H2018" s="93" t="s">
        <v>1</v>
      </c>
    </row>
    <row r="2019" spans="1:8" ht="18" customHeight="1" x14ac:dyDescent="0.15">
      <c r="A2019" s="3" t="s">
        <v>1155</v>
      </c>
      <c r="B2019" s="2"/>
      <c r="C2019" s="2"/>
      <c r="D2019" s="2"/>
      <c r="E2019" s="2"/>
      <c r="F2019" s="2"/>
      <c r="G2019" s="2"/>
      <c r="H2019" s="2"/>
    </row>
    <row r="2020" spans="1:8" ht="18" customHeight="1" x14ac:dyDescent="0.15">
      <c r="A2020" s="3" t="s">
        <v>2587</v>
      </c>
      <c r="B2020" s="2"/>
      <c r="C2020" s="2"/>
      <c r="D2020" s="2"/>
      <c r="E2020" s="2"/>
      <c r="F2020" s="2"/>
      <c r="G2020" s="2"/>
      <c r="H2020" s="2"/>
    </row>
    <row r="2021" spans="1:8" ht="18" customHeight="1" x14ac:dyDescent="0.15">
      <c r="A2021" s="3" t="s">
        <v>1156</v>
      </c>
      <c r="B2021" s="2"/>
      <c r="C2021" s="2"/>
      <c r="D2021" s="2"/>
      <c r="E2021" s="2"/>
      <c r="F2021" s="2"/>
      <c r="G2021" s="2"/>
      <c r="H2021" s="2"/>
    </row>
    <row r="2022" spans="1:8" ht="12" x14ac:dyDescent="0.15">
      <c r="A2022" s="3" t="s">
        <v>2456</v>
      </c>
      <c r="B2022" s="2"/>
      <c r="C2022" s="2"/>
      <c r="D2022" s="2"/>
      <c r="E2022" s="2"/>
      <c r="F2022" s="2"/>
      <c r="G2022" s="2"/>
      <c r="H2022" s="2"/>
    </row>
    <row r="2023" spans="1:8" ht="24" customHeight="1" x14ac:dyDescent="0.15">
      <c r="A2023" s="230" t="s">
        <v>2429</v>
      </c>
      <c r="B2023" s="230"/>
      <c r="C2023" s="230"/>
      <c r="D2023" s="230"/>
      <c r="E2023" s="230"/>
      <c r="F2023" s="230"/>
      <c r="G2023" s="230"/>
      <c r="H2023" s="230"/>
    </row>
    <row r="2024" spans="1:8" ht="17.25" x14ac:dyDescent="0.15">
      <c r="A2024" s="231"/>
      <c r="B2024" s="231"/>
      <c r="C2024" s="231"/>
      <c r="D2024" s="231"/>
      <c r="E2024" s="231"/>
      <c r="F2024" s="231"/>
      <c r="G2024" s="231"/>
      <c r="H2024" s="231"/>
    </row>
    <row r="2025" spans="1:8" ht="18" customHeight="1" thickBot="1" x14ac:dyDescent="0.2">
      <c r="A2025" s="58" t="s">
        <v>2428</v>
      </c>
    </row>
    <row r="2026" spans="1:8" ht="18" customHeight="1" x14ac:dyDescent="0.15">
      <c r="A2026" s="232" t="s">
        <v>47</v>
      </c>
      <c r="B2026" s="235" t="s">
        <v>2427</v>
      </c>
      <c r="C2026" s="238" t="s">
        <v>45</v>
      </c>
      <c r="D2026" s="241" t="s">
        <v>2426</v>
      </c>
      <c r="E2026" s="57"/>
      <c r="F2026" s="56"/>
      <c r="G2026" s="56"/>
      <c r="H2026" s="55"/>
    </row>
    <row r="2027" spans="1:8" ht="18" customHeight="1" x14ac:dyDescent="0.15">
      <c r="A2027" s="233"/>
      <c r="B2027" s="236"/>
      <c r="C2027" s="239"/>
      <c r="D2027" s="242"/>
      <c r="E2027" s="244" t="s">
        <v>2425</v>
      </c>
      <c r="F2027" s="246" t="s">
        <v>2424</v>
      </c>
      <c r="G2027" s="246" t="s">
        <v>2423</v>
      </c>
      <c r="H2027" s="248" t="s">
        <v>2422</v>
      </c>
    </row>
    <row r="2028" spans="1:8" s="60" customFormat="1" ht="18" customHeight="1" thickBot="1" x14ac:dyDescent="0.2">
      <c r="A2028" s="234"/>
      <c r="B2028" s="237"/>
      <c r="C2028" s="240"/>
      <c r="D2028" s="243"/>
      <c r="E2028" s="245"/>
      <c r="F2028" s="247"/>
      <c r="G2028" s="247"/>
      <c r="H2028" s="249"/>
    </row>
    <row r="2029" spans="1:8" ht="21.75" customHeight="1" thickTop="1" x14ac:dyDescent="0.15">
      <c r="A2029" s="54"/>
      <c r="B2029" s="53"/>
      <c r="C2029" s="52"/>
      <c r="D2029" s="51" t="s">
        <v>2421</v>
      </c>
      <c r="E2029" s="50" t="s">
        <v>2421</v>
      </c>
      <c r="F2029" s="49" t="s">
        <v>2421</v>
      </c>
      <c r="G2029" s="49" t="s">
        <v>39</v>
      </c>
      <c r="H2029" s="48" t="s">
        <v>2421</v>
      </c>
    </row>
    <row r="2030" spans="1:8" ht="21.75" customHeight="1" x14ac:dyDescent="0.15">
      <c r="A2030" s="250" t="s">
        <v>2420</v>
      </c>
      <c r="B2030" s="61" t="s">
        <v>37</v>
      </c>
      <c r="C2030" s="62">
        <v>3818</v>
      </c>
      <c r="D2030" s="63">
        <f>QUOTIENT(580930225147849,1000000)</f>
        <v>580930225</v>
      </c>
      <c r="E2030" s="63">
        <f>QUOTIENT(221291769905210,1000000)</f>
        <v>221291769</v>
      </c>
      <c r="F2030" s="64">
        <f>QUOTIENT(178172211988283,1000000)</f>
        <v>178172211</v>
      </c>
      <c r="G2030" s="64">
        <f>QUOTIENT(178381509023610,1000000)</f>
        <v>178381509</v>
      </c>
      <c r="H2030" s="65">
        <f>QUOTIENT(3084734230745,1000000)</f>
        <v>3084734</v>
      </c>
    </row>
    <row r="2031" spans="1:8" ht="21.75" customHeight="1" x14ac:dyDescent="0.15">
      <c r="A2031" s="250"/>
      <c r="B2031" s="66" t="s">
        <v>36</v>
      </c>
      <c r="C2031" s="67">
        <v>23</v>
      </c>
      <c r="D2031" s="68">
        <f>QUOTIENT(260570244500,1000000)</f>
        <v>260570</v>
      </c>
      <c r="E2031" s="68">
        <f>QUOTIENT(92827630500,1000000)</f>
        <v>92827</v>
      </c>
      <c r="F2031" s="69">
        <f>QUOTIENT(152171100000,1000000)</f>
        <v>152171</v>
      </c>
      <c r="G2031" s="69">
        <f>QUOTIENT(15571514000,1000000)</f>
        <v>15571</v>
      </c>
      <c r="H2031" s="70">
        <f>QUOTIENT(0,1000000)</f>
        <v>0</v>
      </c>
    </row>
    <row r="2032" spans="1:8" ht="21.75" customHeight="1" x14ac:dyDescent="0.15">
      <c r="A2032" s="250"/>
      <c r="B2032" s="66" t="s">
        <v>2419</v>
      </c>
      <c r="C2032" s="67">
        <v>98</v>
      </c>
      <c r="D2032" s="68">
        <f>QUOTIENT(0,1000000)</f>
        <v>0</v>
      </c>
      <c r="E2032" s="68">
        <f>QUOTIENT(0,1000000)</f>
        <v>0</v>
      </c>
      <c r="F2032" s="69">
        <f>QUOTIENT(0,1000000)</f>
        <v>0</v>
      </c>
      <c r="G2032" s="69">
        <f>QUOTIENT(0,1000000)</f>
        <v>0</v>
      </c>
      <c r="H2032" s="70">
        <f>QUOTIENT(0,1000000)</f>
        <v>0</v>
      </c>
    </row>
    <row r="2033" spans="1:8" ht="21.75" customHeight="1" x14ac:dyDescent="0.15">
      <c r="A2033" s="250"/>
      <c r="B2033" s="71" t="s">
        <v>34</v>
      </c>
      <c r="C2033" s="72">
        <v>1</v>
      </c>
      <c r="D2033" s="73">
        <f>QUOTIENT(154038285000,1000000)</f>
        <v>154038</v>
      </c>
      <c r="E2033" s="73">
        <f>QUOTIENT(116012325000,1000000)</f>
        <v>116012</v>
      </c>
      <c r="F2033" s="74">
        <f>QUOTIENT(7605105000,1000000)</f>
        <v>7605</v>
      </c>
      <c r="G2033" s="74">
        <f>QUOTIENT(28875952500,1000000)</f>
        <v>28875</v>
      </c>
      <c r="H2033" s="75">
        <f>QUOTIENT(1544902500,1000000)</f>
        <v>1544</v>
      </c>
    </row>
    <row r="2034" spans="1:8" ht="21.75" customHeight="1" x14ac:dyDescent="0.15">
      <c r="A2034" s="250"/>
      <c r="B2034" s="66" t="s">
        <v>2418</v>
      </c>
      <c r="C2034" s="67">
        <v>70</v>
      </c>
      <c r="D2034" s="68">
        <f>QUOTIENT(12395945021540,1000000)</f>
        <v>12395945</v>
      </c>
      <c r="E2034" s="68">
        <f>QUOTIENT(3195264132220,1000000)</f>
        <v>3195264</v>
      </c>
      <c r="F2034" s="69">
        <f>QUOTIENT(3476542539650,1000000)</f>
        <v>3476542</v>
      </c>
      <c r="G2034" s="69">
        <f>QUOTIENT(5669999210050,1000000)</f>
        <v>5669999</v>
      </c>
      <c r="H2034" s="70">
        <f>QUOTIENT(54139139620,1000000)</f>
        <v>54139</v>
      </c>
    </row>
    <row r="2035" spans="1:8" ht="21.75" customHeight="1" x14ac:dyDescent="0.15">
      <c r="A2035" s="250"/>
      <c r="B2035" s="76" t="s">
        <v>32</v>
      </c>
      <c r="C2035" s="67">
        <v>181</v>
      </c>
      <c r="D2035" s="68">
        <f>QUOTIENT(40658008561086,1000000)</f>
        <v>40658008</v>
      </c>
      <c r="E2035" s="68">
        <f>QUOTIENT(4011507847527,1000000)</f>
        <v>4011507</v>
      </c>
      <c r="F2035" s="69">
        <f>QUOTIENT(1001419507820,1000000)</f>
        <v>1001419</v>
      </c>
      <c r="G2035" s="69">
        <f>QUOTIENT(35593471292082,1000000)</f>
        <v>35593471</v>
      </c>
      <c r="H2035" s="70">
        <f>QUOTIENT(51609913657,1000000)</f>
        <v>51609</v>
      </c>
    </row>
    <row r="2036" spans="1:8" ht="21.75" customHeight="1" x14ac:dyDescent="0.15">
      <c r="A2036" s="251"/>
      <c r="B2036" s="77" t="s">
        <v>2417</v>
      </c>
      <c r="C2036" s="72">
        <v>41</v>
      </c>
      <c r="D2036" s="73">
        <f>QUOTIENT(324957809798,1000000)</f>
        <v>324957</v>
      </c>
      <c r="E2036" s="73">
        <f>QUOTIENT(282219659994,1000000)</f>
        <v>282219</v>
      </c>
      <c r="F2036" s="74">
        <f>QUOTIENT(2771573907,1000000)</f>
        <v>2771</v>
      </c>
      <c r="G2036" s="74">
        <f>QUOTIENT(38275921906,1000000)</f>
        <v>38275</v>
      </c>
      <c r="H2036" s="75">
        <f>QUOTIENT(1690653991,1000000)</f>
        <v>1690</v>
      </c>
    </row>
    <row r="2037" spans="1:8" ht="21.75" customHeight="1" x14ac:dyDescent="0.15">
      <c r="A2037" s="30" t="s">
        <v>2416</v>
      </c>
      <c r="B2037" s="78" t="s">
        <v>2415</v>
      </c>
      <c r="C2037" s="79">
        <v>28</v>
      </c>
      <c r="D2037" s="80">
        <f>QUOTIENT(88153408171,1000000)</f>
        <v>88153</v>
      </c>
      <c r="E2037" s="80">
        <f>QUOTIENT(84604693446,1000000)</f>
        <v>84604</v>
      </c>
      <c r="F2037" s="81">
        <f>QUOTIENT(633475647,1000000)</f>
        <v>633</v>
      </c>
      <c r="G2037" s="81">
        <f>QUOTIENT(543475420,1000000)</f>
        <v>543</v>
      </c>
      <c r="H2037" s="82">
        <f>QUOTIENT(2371763658,1000000)</f>
        <v>2371</v>
      </c>
    </row>
    <row r="2038" spans="1:8" ht="21.75" customHeight="1" x14ac:dyDescent="0.15">
      <c r="A2038" s="252" t="s">
        <v>2414</v>
      </c>
      <c r="B2038" s="17" t="s">
        <v>2413</v>
      </c>
      <c r="C2038" s="16">
        <v>3196</v>
      </c>
      <c r="D2038" s="83">
        <f>QUOTIENT(61903477070000,1000000)</f>
        <v>61903477</v>
      </c>
      <c r="E2038" s="83">
        <f>QUOTIENT(9463963530000,1000000)</f>
        <v>9463963</v>
      </c>
      <c r="F2038" s="84">
        <f>QUOTIENT(15388086860000,1000000)</f>
        <v>15388086</v>
      </c>
      <c r="G2038" s="84">
        <f>QUOTIENT(29291495390000,1000000)</f>
        <v>29291495</v>
      </c>
      <c r="H2038" s="85">
        <f>QUOTIENT(7759931290000,1000000)</f>
        <v>7759931</v>
      </c>
    </row>
    <row r="2039" spans="1:8" ht="21.75" customHeight="1" x14ac:dyDescent="0.15">
      <c r="A2039" s="250"/>
      <c r="B2039" s="23" t="s">
        <v>2412</v>
      </c>
      <c r="C2039" s="22">
        <v>3381</v>
      </c>
      <c r="D2039" s="86">
        <f>QUOTIENT(14520237101000,1000000)</f>
        <v>14520237</v>
      </c>
      <c r="E2039" s="86">
        <f>QUOTIENT(609362230000,1000000)</f>
        <v>609362</v>
      </c>
      <c r="F2039" s="87">
        <f>QUOTIENT(6162796193000,1000000)</f>
        <v>6162796</v>
      </c>
      <c r="G2039" s="87">
        <f>QUOTIENT(6169631508000,1000000)</f>
        <v>6169631</v>
      </c>
      <c r="H2039" s="88">
        <f>QUOTIENT(1578447170000,1000000)</f>
        <v>1578447</v>
      </c>
    </row>
    <row r="2040" spans="1:8" ht="21.75" customHeight="1" x14ac:dyDescent="0.15">
      <c r="A2040" s="250"/>
      <c r="B2040" s="24" t="s">
        <v>25</v>
      </c>
      <c r="C2040" s="22">
        <v>623</v>
      </c>
      <c r="D2040" s="86">
        <f>QUOTIENT(27860760000000,1000000)</f>
        <v>27860760</v>
      </c>
      <c r="E2040" s="86">
        <f>QUOTIENT(1892139600000,1000000)</f>
        <v>1892139</v>
      </c>
      <c r="F2040" s="87">
        <f>QUOTIENT(9767064900000,1000000)</f>
        <v>9767064</v>
      </c>
      <c r="G2040" s="87">
        <f>QUOTIENT(12754993200000,1000000)</f>
        <v>12754993</v>
      </c>
      <c r="H2040" s="88">
        <f>QUOTIENT(3446562300000,1000000)</f>
        <v>3446562</v>
      </c>
    </row>
    <row r="2041" spans="1:8" ht="21.75" customHeight="1" x14ac:dyDescent="0.15">
      <c r="A2041" s="250"/>
      <c r="B2041" s="23" t="s">
        <v>2411</v>
      </c>
      <c r="C2041" s="22">
        <v>1872</v>
      </c>
      <c r="D2041" s="86">
        <f>QUOTIENT(54025900000000,1000000)</f>
        <v>54025900</v>
      </c>
      <c r="E2041" s="86">
        <f>QUOTIENT(5604271300000,1000000)</f>
        <v>5604271</v>
      </c>
      <c r="F2041" s="87">
        <f>QUOTIENT(12027344400000,1000000)</f>
        <v>12027344</v>
      </c>
      <c r="G2041" s="87">
        <f>QUOTIENT(32165915300000,1000000)</f>
        <v>32165915</v>
      </c>
      <c r="H2041" s="88">
        <f>QUOTIENT(4228369000000,1000000)</f>
        <v>4228369</v>
      </c>
    </row>
    <row r="2042" spans="1:8" ht="21.75" customHeight="1" x14ac:dyDescent="0.15">
      <c r="A2042" s="250"/>
      <c r="B2042" s="23" t="s">
        <v>23</v>
      </c>
      <c r="C2042" s="22">
        <v>408</v>
      </c>
      <c r="D2042" s="86">
        <f>QUOTIENT(4753250000000,1000000)</f>
        <v>4753250</v>
      </c>
      <c r="E2042" s="86">
        <f>QUOTIENT(352848300000,1000000)</f>
        <v>352848</v>
      </c>
      <c r="F2042" s="87">
        <f>QUOTIENT(79294100000,1000000)</f>
        <v>79294</v>
      </c>
      <c r="G2042" s="87">
        <f>QUOTIENT(4283544600000,1000000)</f>
        <v>4283544</v>
      </c>
      <c r="H2042" s="88">
        <f>QUOTIENT(37563000000,1000000)</f>
        <v>37563</v>
      </c>
    </row>
    <row r="2043" spans="1:8" ht="21.75" customHeight="1" x14ac:dyDescent="0.15">
      <c r="A2043" s="250"/>
      <c r="B2043" s="23" t="s">
        <v>2410</v>
      </c>
      <c r="C2043" s="22">
        <v>145</v>
      </c>
      <c r="D2043" s="86">
        <f>QUOTIENT(1242300000000,1000000)</f>
        <v>1242300</v>
      </c>
      <c r="E2043" s="86">
        <f>QUOTIENT(296270000000,1000000)</f>
        <v>296270</v>
      </c>
      <c r="F2043" s="87">
        <f>QUOTIENT(112800000000,1000000)</f>
        <v>112800</v>
      </c>
      <c r="G2043" s="87">
        <f>QUOTIENT(536730000000,1000000)</f>
        <v>536730</v>
      </c>
      <c r="H2043" s="88">
        <f>QUOTIENT(296500000000,1000000)</f>
        <v>296500</v>
      </c>
    </row>
    <row r="2044" spans="1:8" ht="21.75" customHeight="1" x14ac:dyDescent="0.15">
      <c r="A2044" s="250"/>
      <c r="B2044" s="23" t="s">
        <v>2409</v>
      </c>
      <c r="C2044" s="22">
        <v>24</v>
      </c>
      <c r="D2044" s="86">
        <f>QUOTIENT(165302000000,1000000)</f>
        <v>165302</v>
      </c>
      <c r="E2044" s="86">
        <f>QUOTIENT(114328000000,1000000)</f>
        <v>114328</v>
      </c>
      <c r="F2044" s="87">
        <f>QUOTIENT(7127000000,1000000)</f>
        <v>7127</v>
      </c>
      <c r="G2044" s="87">
        <f>QUOTIENT(21571000000,1000000)</f>
        <v>21571</v>
      </c>
      <c r="H2044" s="88">
        <f>QUOTIENT(22276000000,1000000)</f>
        <v>22276</v>
      </c>
    </row>
    <row r="2045" spans="1:8" ht="21.75" customHeight="1" x14ac:dyDescent="0.15">
      <c r="A2045" s="250"/>
      <c r="B2045" s="23" t="s">
        <v>20</v>
      </c>
      <c r="C2045" s="22">
        <v>0</v>
      </c>
      <c r="D2045" s="86">
        <f>QUOTIENT(0,1000000)</f>
        <v>0</v>
      </c>
      <c r="E2045" s="86">
        <f>QUOTIENT(0,1000000)</f>
        <v>0</v>
      </c>
      <c r="F2045" s="87">
        <f>QUOTIENT(0,1000000)</f>
        <v>0</v>
      </c>
      <c r="G2045" s="87">
        <f>QUOTIENT(0,1000000)</f>
        <v>0</v>
      </c>
      <c r="H2045" s="88">
        <f>QUOTIENT(0,1000000)</f>
        <v>0</v>
      </c>
    </row>
    <row r="2046" spans="1:8" ht="21.75" customHeight="1" x14ac:dyDescent="0.15">
      <c r="A2046" s="250"/>
      <c r="B2046" s="23" t="s">
        <v>2408</v>
      </c>
      <c r="C2046" s="22">
        <v>233</v>
      </c>
      <c r="D2046" s="86">
        <f>QUOTIENT(6798120000000,1000000)</f>
        <v>6798120</v>
      </c>
      <c r="E2046" s="86">
        <f>QUOTIENT(581210000000,1000000)</f>
        <v>581210</v>
      </c>
      <c r="F2046" s="87">
        <f>QUOTIENT(2723010000000,1000000)</f>
        <v>2723010</v>
      </c>
      <c r="G2046" s="87">
        <f>QUOTIENT(2718440000000,1000000)</f>
        <v>2718440</v>
      </c>
      <c r="H2046" s="88">
        <f>QUOTIENT(775460000000,1000000)</f>
        <v>775460</v>
      </c>
    </row>
    <row r="2047" spans="1:8" ht="21.75" customHeight="1" x14ac:dyDescent="0.15">
      <c r="A2047" s="250"/>
      <c r="B2047" s="23" t="s">
        <v>2407</v>
      </c>
      <c r="C2047" s="22">
        <v>3568</v>
      </c>
      <c r="D2047" s="86">
        <f>QUOTIENT(70344069000000,1000000)</f>
        <v>70344069</v>
      </c>
      <c r="E2047" s="86">
        <f>QUOTIENT(17032209600000,1000000)</f>
        <v>17032209</v>
      </c>
      <c r="F2047" s="87">
        <f>QUOTIENT(11627520600000,1000000)</f>
        <v>11627520</v>
      </c>
      <c r="G2047" s="87">
        <f>QUOTIENT(32607290300000,1000000)</f>
        <v>32607290</v>
      </c>
      <c r="H2047" s="88">
        <f>QUOTIENT(9077048500000,1000000)</f>
        <v>9077048</v>
      </c>
    </row>
    <row r="2048" spans="1:8" ht="21.75" customHeight="1" x14ac:dyDescent="0.15">
      <c r="A2048" s="250"/>
      <c r="B2048" s="23" t="s">
        <v>17</v>
      </c>
      <c r="C2048" s="22">
        <v>651</v>
      </c>
      <c r="D2048" s="86">
        <f>QUOTIENT(15493060000000,1000000)</f>
        <v>15493060</v>
      </c>
      <c r="E2048" s="86">
        <f>QUOTIENT(3302082700000,1000000)</f>
        <v>3302082</v>
      </c>
      <c r="F2048" s="87">
        <f>QUOTIENT(3090021500000,1000000)</f>
        <v>3090021</v>
      </c>
      <c r="G2048" s="87">
        <f>QUOTIENT(7457340500000,1000000)</f>
        <v>7457340</v>
      </c>
      <c r="H2048" s="88">
        <f>QUOTIENT(1643615300000,1000000)</f>
        <v>1643615</v>
      </c>
    </row>
    <row r="2049" spans="1:8" ht="21.75" customHeight="1" x14ac:dyDescent="0.15">
      <c r="A2049" s="250"/>
      <c r="B2049" s="23" t="s">
        <v>2406</v>
      </c>
      <c r="C2049" s="22">
        <v>60820</v>
      </c>
      <c r="D2049" s="86">
        <f>QUOTIENT(17404501490000,1000000)</f>
        <v>17404501</v>
      </c>
      <c r="E2049" s="86">
        <f>QUOTIENT(5081343037000,1000000)</f>
        <v>5081343</v>
      </c>
      <c r="F2049" s="87">
        <f>QUOTIENT(5190065634000,1000000)</f>
        <v>5190065</v>
      </c>
      <c r="G2049" s="87">
        <f>QUOTIENT(6725897819000,1000000)</f>
        <v>6725897</v>
      </c>
      <c r="H2049" s="88">
        <f>QUOTIENT(407195000000,1000000)</f>
        <v>407195</v>
      </c>
    </row>
    <row r="2050" spans="1:8" ht="21.75" customHeight="1" x14ac:dyDescent="0.15">
      <c r="A2050" s="250"/>
      <c r="B2050" s="23" t="s">
        <v>2405</v>
      </c>
      <c r="C2050" s="22">
        <v>704</v>
      </c>
      <c r="D2050" s="86">
        <f>QUOTIENT(4809263668000,1000000)</f>
        <v>4809263</v>
      </c>
      <c r="E2050" s="86">
        <f>QUOTIENT(4081429437000,1000000)</f>
        <v>4081429</v>
      </c>
      <c r="F2050" s="87">
        <f>QUOTIENT(560465302000,1000000)</f>
        <v>560465</v>
      </c>
      <c r="G2050" s="87">
        <f>QUOTIENT(152368929000,1000000)</f>
        <v>152368</v>
      </c>
      <c r="H2050" s="88">
        <f>QUOTIENT(15000000000,1000000)</f>
        <v>15000</v>
      </c>
    </row>
    <row r="2051" spans="1:8" ht="21.75" customHeight="1" x14ac:dyDescent="0.15">
      <c r="A2051" s="250"/>
      <c r="B2051" s="23" t="s">
        <v>2404</v>
      </c>
      <c r="C2051" s="22">
        <v>42</v>
      </c>
      <c r="D2051" s="86">
        <f>QUOTIENT(218900000000,1000000)</f>
        <v>218900</v>
      </c>
      <c r="E2051" s="86">
        <f>QUOTIENT(103492000000,1000000)</f>
        <v>103492</v>
      </c>
      <c r="F2051" s="87">
        <f>QUOTIENT(12500000000,1000000)</f>
        <v>12500</v>
      </c>
      <c r="G2051" s="87">
        <f>QUOTIENT(73406000000,1000000)</f>
        <v>73406</v>
      </c>
      <c r="H2051" s="88">
        <f>QUOTIENT(29502000000,1000000)</f>
        <v>29502</v>
      </c>
    </row>
    <row r="2052" spans="1:8" ht="21.75" customHeight="1" x14ac:dyDescent="0.15">
      <c r="A2052" s="250"/>
      <c r="B2052" s="23" t="s">
        <v>2403</v>
      </c>
      <c r="C2052" s="22">
        <v>554</v>
      </c>
      <c r="D2052" s="86">
        <f>QUOTIENT(2690460837000,1000000)</f>
        <v>2690460</v>
      </c>
      <c r="E2052" s="86">
        <f>QUOTIENT(197001230000,1000000)</f>
        <v>197001</v>
      </c>
      <c r="F2052" s="87">
        <f>QUOTIENT(1344951107000,1000000)</f>
        <v>1344951</v>
      </c>
      <c r="G2052" s="87">
        <f>QUOTIENT(1083613500000,1000000)</f>
        <v>1083613</v>
      </c>
      <c r="H2052" s="88">
        <f>QUOTIENT(64895000000,1000000)</f>
        <v>64895</v>
      </c>
    </row>
    <row r="2053" spans="1:8" ht="21.75" customHeight="1" x14ac:dyDescent="0.15">
      <c r="A2053" s="250"/>
      <c r="B2053" s="23" t="s">
        <v>12</v>
      </c>
      <c r="C2053" s="22">
        <v>289</v>
      </c>
      <c r="D2053" s="86">
        <f>QUOTIENT(8374700000000,1000000)</f>
        <v>8374700</v>
      </c>
      <c r="E2053" s="86">
        <f>QUOTIENT(913895000000,1000000)</f>
        <v>913895</v>
      </c>
      <c r="F2053" s="87">
        <f>QUOTIENT(1780705000000,1000000)</f>
        <v>1780705</v>
      </c>
      <c r="G2053" s="87">
        <f>QUOTIENT(4870470000000,1000000)</f>
        <v>4870470</v>
      </c>
      <c r="H2053" s="88">
        <f>QUOTIENT(809630000000,1000000)</f>
        <v>809630</v>
      </c>
    </row>
    <row r="2054" spans="1:8" ht="21.75" customHeight="1" x14ac:dyDescent="0.15">
      <c r="A2054" s="250"/>
      <c r="B2054" s="23" t="s">
        <v>2402</v>
      </c>
      <c r="C2054" s="22">
        <v>76</v>
      </c>
      <c r="D2054" s="86">
        <f>QUOTIENT(2019450000000,1000000)</f>
        <v>2019450</v>
      </c>
      <c r="E2054" s="86">
        <f>QUOTIENT(181000000000,1000000)</f>
        <v>181000</v>
      </c>
      <c r="F2054" s="87">
        <f>QUOTIENT(695450000000,1000000)</f>
        <v>695450</v>
      </c>
      <c r="G2054" s="87">
        <f>QUOTIENT(912500000000,1000000)</f>
        <v>912500</v>
      </c>
      <c r="H2054" s="88">
        <f>QUOTIENT(230500000000,1000000)</f>
        <v>230500</v>
      </c>
    </row>
    <row r="2055" spans="1:8" ht="21.75" customHeight="1" x14ac:dyDescent="0.15">
      <c r="A2055" s="250"/>
      <c r="B2055" s="23" t="s">
        <v>2401</v>
      </c>
      <c r="C2055" s="22">
        <v>0</v>
      </c>
      <c r="D2055" s="86">
        <f t="shared" ref="D2055:H2057" si="51">QUOTIENT(0,1000000)</f>
        <v>0</v>
      </c>
      <c r="E2055" s="86">
        <f t="shared" si="51"/>
        <v>0</v>
      </c>
      <c r="F2055" s="87">
        <f t="shared" si="51"/>
        <v>0</v>
      </c>
      <c r="G2055" s="87">
        <f t="shared" si="51"/>
        <v>0</v>
      </c>
      <c r="H2055" s="88">
        <f t="shared" si="51"/>
        <v>0</v>
      </c>
    </row>
    <row r="2056" spans="1:8" ht="21.75" customHeight="1" x14ac:dyDescent="0.15">
      <c r="A2056" s="250"/>
      <c r="B2056" s="23" t="s">
        <v>9</v>
      </c>
      <c r="C2056" s="22">
        <v>0</v>
      </c>
      <c r="D2056" s="86">
        <f t="shared" si="51"/>
        <v>0</v>
      </c>
      <c r="E2056" s="86">
        <f t="shared" si="51"/>
        <v>0</v>
      </c>
      <c r="F2056" s="87">
        <f t="shared" si="51"/>
        <v>0</v>
      </c>
      <c r="G2056" s="87">
        <f t="shared" si="51"/>
        <v>0</v>
      </c>
      <c r="H2056" s="88">
        <f t="shared" si="51"/>
        <v>0</v>
      </c>
    </row>
    <row r="2057" spans="1:8" ht="21.75" customHeight="1" x14ac:dyDescent="0.15">
      <c r="A2057" s="250"/>
      <c r="B2057" s="23" t="s">
        <v>2400</v>
      </c>
      <c r="C2057" s="22">
        <v>0</v>
      </c>
      <c r="D2057" s="86">
        <f t="shared" si="51"/>
        <v>0</v>
      </c>
      <c r="E2057" s="86">
        <f t="shared" si="51"/>
        <v>0</v>
      </c>
      <c r="F2057" s="87">
        <f t="shared" si="51"/>
        <v>0</v>
      </c>
      <c r="G2057" s="87">
        <f t="shared" si="51"/>
        <v>0</v>
      </c>
      <c r="H2057" s="88">
        <f t="shared" si="51"/>
        <v>0</v>
      </c>
    </row>
    <row r="2058" spans="1:8" ht="21.75" customHeight="1" x14ac:dyDescent="0.15">
      <c r="A2058" s="251"/>
      <c r="B2058" s="23" t="s">
        <v>2399</v>
      </c>
      <c r="C2058" s="22">
        <v>32</v>
      </c>
      <c r="D2058" s="86">
        <f>QUOTIENT(17391900000,1000000)</f>
        <v>17391</v>
      </c>
      <c r="E2058" s="86">
        <f>QUOTIENT(466900000,1000000)</f>
        <v>466</v>
      </c>
      <c r="F2058" s="87">
        <f>QUOTIENT(14000000000,1000000)</f>
        <v>14000</v>
      </c>
      <c r="G2058" s="87">
        <f>QUOTIENT(2925000000,1000000)</f>
        <v>2925</v>
      </c>
      <c r="H2058" s="88">
        <f>QUOTIENT(0,1000000)</f>
        <v>0</v>
      </c>
    </row>
    <row r="2059" spans="1:8" ht="21.75" customHeight="1" x14ac:dyDescent="0.15">
      <c r="A2059" s="18" t="s">
        <v>2398</v>
      </c>
      <c r="B2059" s="17" t="s">
        <v>2397</v>
      </c>
      <c r="C2059" s="16">
        <v>3480</v>
      </c>
      <c r="D2059" s="80">
        <v>23235243</v>
      </c>
      <c r="E2059" s="80">
        <v>807200</v>
      </c>
      <c r="F2059" s="81">
        <v>10458170</v>
      </c>
      <c r="G2059" s="81">
        <v>9208576</v>
      </c>
      <c r="H2059" s="82">
        <v>2761297</v>
      </c>
    </row>
    <row r="2060" spans="1:8" ht="21.75" customHeight="1" x14ac:dyDescent="0.15">
      <c r="A2060" s="252" t="s">
        <v>2396</v>
      </c>
      <c r="B2060" s="12" t="s">
        <v>2395</v>
      </c>
      <c r="C2060" s="11">
        <v>5786</v>
      </c>
      <c r="D2060" s="89">
        <v>71386058</v>
      </c>
      <c r="E2060" s="89">
        <v>43316575</v>
      </c>
      <c r="F2060" s="90">
        <v>11941179</v>
      </c>
      <c r="G2060" s="90">
        <v>9845340</v>
      </c>
      <c r="H2060" s="91">
        <v>6282962</v>
      </c>
    </row>
    <row r="2061" spans="1:8" ht="21.75" customHeight="1" thickBot="1" x14ac:dyDescent="0.2">
      <c r="A2061" s="253"/>
      <c r="B2061" s="7" t="s">
        <v>2394</v>
      </c>
      <c r="C2061" s="6">
        <v>7001</v>
      </c>
      <c r="D2061" s="92" t="s">
        <v>2393</v>
      </c>
      <c r="E2061" s="92" t="s">
        <v>2393</v>
      </c>
      <c r="F2061" s="92" t="s">
        <v>2393</v>
      </c>
      <c r="G2061" s="92" t="s">
        <v>2392</v>
      </c>
      <c r="H2061" s="93" t="s">
        <v>2392</v>
      </c>
    </row>
    <row r="2062" spans="1:8" ht="18" customHeight="1" x14ac:dyDescent="0.15">
      <c r="A2062" s="3" t="s">
        <v>2391</v>
      </c>
      <c r="B2062" s="2"/>
      <c r="C2062" s="2"/>
      <c r="D2062" s="2"/>
      <c r="E2062" s="2"/>
      <c r="F2062" s="2"/>
      <c r="G2062" s="2"/>
      <c r="H2062" s="2"/>
    </row>
    <row r="2063" spans="1:8" ht="18" customHeight="1" x14ac:dyDescent="0.15">
      <c r="A2063" s="3" t="s">
        <v>2587</v>
      </c>
      <c r="B2063" s="2"/>
      <c r="C2063" s="2"/>
      <c r="D2063" s="2"/>
      <c r="E2063" s="2"/>
      <c r="F2063" s="2"/>
      <c r="G2063" s="2"/>
      <c r="H2063" s="2"/>
    </row>
    <row r="2064" spans="1:8" ht="18" customHeight="1" x14ac:dyDescent="0.15">
      <c r="A2064" s="3" t="s">
        <v>2390</v>
      </c>
      <c r="B2064" s="2"/>
      <c r="C2064" s="2"/>
      <c r="D2064" s="2"/>
      <c r="E2064" s="2"/>
      <c r="F2064" s="2"/>
      <c r="G2064" s="2"/>
      <c r="H2064" s="2"/>
    </row>
    <row r="2065" spans="1:8" ht="12" x14ac:dyDescent="0.15">
      <c r="A2065" s="3" t="s">
        <v>2389</v>
      </c>
      <c r="B2065" s="2"/>
      <c r="C2065" s="2"/>
      <c r="D2065" s="2"/>
      <c r="E2065" s="2"/>
      <c r="F2065" s="2"/>
      <c r="G2065" s="2"/>
      <c r="H2065" s="2"/>
    </row>
    <row r="2066" spans="1:8" ht="24" customHeight="1" x14ac:dyDescent="0.15">
      <c r="A2066" s="230" t="s">
        <v>2359</v>
      </c>
      <c r="B2066" s="230"/>
      <c r="C2066" s="230"/>
      <c r="D2066" s="230"/>
      <c r="E2066" s="230"/>
      <c r="F2066" s="230"/>
      <c r="G2066" s="230"/>
      <c r="H2066" s="230"/>
    </row>
    <row r="2067" spans="1:8" ht="17.25" x14ac:dyDescent="0.15">
      <c r="A2067" s="231"/>
      <c r="B2067" s="231"/>
      <c r="C2067" s="231"/>
      <c r="D2067" s="231"/>
      <c r="E2067" s="231"/>
      <c r="F2067" s="231"/>
      <c r="G2067" s="231"/>
      <c r="H2067" s="231"/>
    </row>
    <row r="2068" spans="1:8" ht="18" customHeight="1" thickBot="1" x14ac:dyDescent="0.2">
      <c r="A2068" s="58" t="s">
        <v>2360</v>
      </c>
    </row>
    <row r="2069" spans="1:8" ht="18" customHeight="1" x14ac:dyDescent="0.15">
      <c r="A2069" s="232" t="s">
        <v>47</v>
      </c>
      <c r="B2069" s="235" t="s">
        <v>46</v>
      </c>
      <c r="C2069" s="238" t="s">
        <v>45</v>
      </c>
      <c r="D2069" s="241" t="s">
        <v>44</v>
      </c>
      <c r="E2069" s="57"/>
      <c r="F2069" s="56"/>
      <c r="G2069" s="56"/>
      <c r="H2069" s="55"/>
    </row>
    <row r="2070" spans="1:8" ht="18" customHeight="1" x14ac:dyDescent="0.15">
      <c r="A2070" s="233"/>
      <c r="B2070" s="236"/>
      <c r="C2070" s="239"/>
      <c r="D2070" s="242"/>
      <c r="E2070" s="244" t="s">
        <v>43</v>
      </c>
      <c r="F2070" s="246" t="s">
        <v>42</v>
      </c>
      <c r="G2070" s="246" t="s">
        <v>41</v>
      </c>
      <c r="H2070" s="248" t="s">
        <v>40</v>
      </c>
    </row>
    <row r="2071" spans="1:8" s="60" customFormat="1" ht="18" customHeight="1" thickBot="1" x14ac:dyDescent="0.2">
      <c r="A2071" s="234"/>
      <c r="B2071" s="237"/>
      <c r="C2071" s="240"/>
      <c r="D2071" s="243"/>
      <c r="E2071" s="245"/>
      <c r="F2071" s="247"/>
      <c r="G2071" s="247"/>
      <c r="H2071" s="249"/>
    </row>
    <row r="2072" spans="1:8" ht="21.75" customHeight="1" thickTop="1" x14ac:dyDescent="0.15">
      <c r="A2072" s="54"/>
      <c r="B2072" s="53"/>
      <c r="C2072" s="52"/>
      <c r="D2072" s="51" t="s">
        <v>39</v>
      </c>
      <c r="E2072" s="50" t="s">
        <v>39</v>
      </c>
      <c r="F2072" s="49" t="s">
        <v>39</v>
      </c>
      <c r="G2072" s="49" t="s">
        <v>39</v>
      </c>
      <c r="H2072" s="48" t="s">
        <v>39</v>
      </c>
    </row>
    <row r="2073" spans="1:8" ht="21.75" customHeight="1" x14ac:dyDescent="0.15">
      <c r="A2073" s="250" t="s">
        <v>2361</v>
      </c>
      <c r="B2073" s="61" t="s">
        <v>2362</v>
      </c>
      <c r="C2073" s="62">
        <v>3821</v>
      </c>
      <c r="D2073" s="63">
        <f>QUOTIENT(553063090632484,1000000)</f>
        <v>553063090</v>
      </c>
      <c r="E2073" s="63">
        <f>QUOTIENT(214227725020836,1000000)</f>
        <v>214227725</v>
      </c>
      <c r="F2073" s="64">
        <f>QUOTIENT(163458467003241,1000000)</f>
        <v>163458467</v>
      </c>
      <c r="G2073" s="64">
        <f>QUOTIENT(171667648873394,1000000)</f>
        <v>171667648</v>
      </c>
      <c r="H2073" s="65">
        <f>QUOTIENT(3709249735012,1000000)</f>
        <v>3709249</v>
      </c>
    </row>
    <row r="2074" spans="1:8" ht="21.75" customHeight="1" x14ac:dyDescent="0.15">
      <c r="A2074" s="250"/>
      <c r="B2074" s="66" t="s">
        <v>2363</v>
      </c>
      <c r="C2074" s="67">
        <v>25</v>
      </c>
      <c r="D2074" s="68">
        <f>QUOTIENT(248584906000,1000000)</f>
        <v>248584</v>
      </c>
      <c r="E2074" s="68">
        <f>QUOTIENT(91382337000,1000000)</f>
        <v>91382</v>
      </c>
      <c r="F2074" s="69">
        <f>QUOTIENT(139721746000,1000000)</f>
        <v>139721</v>
      </c>
      <c r="G2074" s="69">
        <f>QUOTIENT(17480823000,1000000)</f>
        <v>17480</v>
      </c>
      <c r="H2074" s="70">
        <f>QUOTIENT(0,1000000)</f>
        <v>0</v>
      </c>
    </row>
    <row r="2075" spans="1:8" ht="21.75" customHeight="1" x14ac:dyDescent="0.15">
      <c r="A2075" s="250"/>
      <c r="B2075" s="66" t="s">
        <v>35</v>
      </c>
      <c r="C2075" s="67">
        <v>97</v>
      </c>
      <c r="D2075" s="68">
        <f>QUOTIENT(0,1000000)</f>
        <v>0</v>
      </c>
      <c r="E2075" s="68">
        <f>QUOTIENT(0,1000000)</f>
        <v>0</v>
      </c>
      <c r="F2075" s="69">
        <f>QUOTIENT(0,1000000)</f>
        <v>0</v>
      </c>
      <c r="G2075" s="69">
        <f>QUOTIENT(0,1000000)</f>
        <v>0</v>
      </c>
      <c r="H2075" s="70">
        <f>QUOTIENT(0,1000000)</f>
        <v>0</v>
      </c>
    </row>
    <row r="2076" spans="1:8" ht="21.75" customHeight="1" x14ac:dyDescent="0.15">
      <c r="A2076" s="250"/>
      <c r="B2076" s="71" t="s">
        <v>34</v>
      </c>
      <c r="C2076" s="72">
        <v>1</v>
      </c>
      <c r="D2076" s="73">
        <f>QUOTIENT(160837216200,1000000)</f>
        <v>160837</v>
      </c>
      <c r="E2076" s="73">
        <f>QUOTIENT(121894789500,1000000)</f>
        <v>121894</v>
      </c>
      <c r="F2076" s="74">
        <f>QUOTIENT(7944412200,1000000)</f>
        <v>7944</v>
      </c>
      <c r="G2076" s="74">
        <f>QUOTIENT(29375839200,1000000)</f>
        <v>29375</v>
      </c>
      <c r="H2076" s="75">
        <f>QUOTIENT(1622175300,1000000)</f>
        <v>1622</v>
      </c>
    </row>
    <row r="2077" spans="1:8" ht="21.75" customHeight="1" x14ac:dyDescent="0.15">
      <c r="A2077" s="250"/>
      <c r="B2077" s="66" t="s">
        <v>2364</v>
      </c>
      <c r="C2077" s="67">
        <v>71</v>
      </c>
      <c r="D2077" s="68">
        <f>QUOTIENT(12494693239200,1000000)</f>
        <v>12494693</v>
      </c>
      <c r="E2077" s="68">
        <f>QUOTIENT(3184495311460,1000000)</f>
        <v>3184495</v>
      </c>
      <c r="F2077" s="69">
        <f>QUOTIENT(3662179436400,1000000)</f>
        <v>3662179</v>
      </c>
      <c r="G2077" s="69">
        <f>QUOTIENT(5598654866190,1000000)</f>
        <v>5598654</v>
      </c>
      <c r="H2077" s="70">
        <f>QUOTIENT(49363625150,1000000)</f>
        <v>49363</v>
      </c>
    </row>
    <row r="2078" spans="1:8" ht="21.75" customHeight="1" x14ac:dyDescent="0.15">
      <c r="A2078" s="250"/>
      <c r="B2078" s="76" t="s">
        <v>32</v>
      </c>
      <c r="C2078" s="67">
        <v>181</v>
      </c>
      <c r="D2078" s="68">
        <f>QUOTIENT(37617325400833,1000000)</f>
        <v>37617325</v>
      </c>
      <c r="E2078" s="68">
        <f>QUOTIENT(3962513634513,1000000)</f>
        <v>3962513</v>
      </c>
      <c r="F2078" s="69">
        <f>QUOTIENT(1059989294152,1000000)</f>
        <v>1059989</v>
      </c>
      <c r="G2078" s="69">
        <f>QUOTIENT(32524390188026,1000000)</f>
        <v>32524390</v>
      </c>
      <c r="H2078" s="70">
        <f>QUOTIENT(70432284142,1000000)</f>
        <v>70432</v>
      </c>
    </row>
    <row r="2079" spans="1:8" ht="21.75" customHeight="1" x14ac:dyDescent="0.15">
      <c r="A2079" s="251"/>
      <c r="B2079" s="77" t="s">
        <v>2365</v>
      </c>
      <c r="C2079" s="72">
        <v>41</v>
      </c>
      <c r="D2079" s="73">
        <f>QUOTIENT(298639898983,1000000)</f>
        <v>298639</v>
      </c>
      <c r="E2079" s="73">
        <f>QUOTIENT(259447158874,1000000)</f>
        <v>259447</v>
      </c>
      <c r="F2079" s="74">
        <f>QUOTIENT(1995085237,1000000)</f>
        <v>1995</v>
      </c>
      <c r="G2079" s="74">
        <f>QUOTIENT(36220371792,1000000)</f>
        <v>36220</v>
      </c>
      <c r="H2079" s="75">
        <f>QUOTIENT(977283080,1000000)</f>
        <v>977</v>
      </c>
    </row>
    <row r="2080" spans="1:8" ht="21.75" customHeight="1" x14ac:dyDescent="0.15">
      <c r="A2080" s="30" t="s">
        <v>2366</v>
      </c>
      <c r="B2080" s="78" t="s">
        <v>2367</v>
      </c>
      <c r="C2080" s="79">
        <v>28</v>
      </c>
      <c r="D2080" s="80">
        <f>QUOTIENT(73860486658,1000000)</f>
        <v>73860</v>
      </c>
      <c r="E2080" s="80">
        <f>QUOTIENT(70906472749,1000000)</f>
        <v>70906</v>
      </c>
      <c r="F2080" s="81">
        <f>QUOTIENT(488618017,1000000)</f>
        <v>488</v>
      </c>
      <c r="G2080" s="81">
        <f>QUOTIENT(459656400,1000000)</f>
        <v>459</v>
      </c>
      <c r="H2080" s="82">
        <f>QUOTIENT(2005739492,1000000)</f>
        <v>2005</v>
      </c>
    </row>
    <row r="2081" spans="1:8" ht="21.75" customHeight="1" x14ac:dyDescent="0.15">
      <c r="A2081" s="252" t="s">
        <v>2368</v>
      </c>
      <c r="B2081" s="17" t="s">
        <v>2369</v>
      </c>
      <c r="C2081" s="16">
        <v>3193</v>
      </c>
      <c r="D2081" s="83">
        <f>QUOTIENT(61784677070000,1000000)</f>
        <v>61784677</v>
      </c>
      <c r="E2081" s="83">
        <f>QUOTIENT(9488757820000,1000000)</f>
        <v>9488757</v>
      </c>
      <c r="F2081" s="84">
        <f>QUOTIENT(15136815230000,1000000)</f>
        <v>15136815</v>
      </c>
      <c r="G2081" s="84">
        <f>QUOTIENT(29455510430000,1000000)</f>
        <v>29455510</v>
      </c>
      <c r="H2081" s="85">
        <f>QUOTIENT(7703593590000,1000000)</f>
        <v>7703593</v>
      </c>
    </row>
    <row r="2082" spans="1:8" ht="21.75" customHeight="1" x14ac:dyDescent="0.15">
      <c r="A2082" s="250"/>
      <c r="B2082" s="23" t="s">
        <v>2370</v>
      </c>
      <c r="C2082" s="22">
        <v>3374</v>
      </c>
      <c r="D2082" s="86">
        <f>QUOTIENT(14461329106000,1000000)</f>
        <v>14461329</v>
      </c>
      <c r="E2082" s="86">
        <f>QUOTIENT(589596030000,1000000)</f>
        <v>589596</v>
      </c>
      <c r="F2082" s="87">
        <f>QUOTIENT(5998222393000,1000000)</f>
        <v>5998222</v>
      </c>
      <c r="G2082" s="87">
        <f>QUOTIENT(6294453013000,1000000)</f>
        <v>6294453</v>
      </c>
      <c r="H2082" s="88">
        <f>QUOTIENT(1579057670000,1000000)</f>
        <v>1579057</v>
      </c>
    </row>
    <row r="2083" spans="1:8" ht="21.75" customHeight="1" x14ac:dyDescent="0.15">
      <c r="A2083" s="250"/>
      <c r="B2083" s="24" t="s">
        <v>2371</v>
      </c>
      <c r="C2083" s="22">
        <v>627</v>
      </c>
      <c r="D2083" s="86">
        <f>QUOTIENT(28150760000000,1000000)</f>
        <v>28150760</v>
      </c>
      <c r="E2083" s="86">
        <f>QUOTIENT(1930944200000,1000000)</f>
        <v>1930944</v>
      </c>
      <c r="F2083" s="87">
        <f>QUOTIENT(9865893200000,1000000)</f>
        <v>9865893</v>
      </c>
      <c r="G2083" s="87">
        <f>QUOTIENT(12885717300000,1000000)</f>
        <v>12885717</v>
      </c>
      <c r="H2083" s="88">
        <f>QUOTIENT(3468205300000,1000000)</f>
        <v>3468205</v>
      </c>
    </row>
    <row r="2084" spans="1:8" ht="21.75" customHeight="1" x14ac:dyDescent="0.15">
      <c r="A2084" s="250"/>
      <c r="B2084" s="23" t="s">
        <v>2372</v>
      </c>
      <c r="C2084" s="22">
        <v>1848</v>
      </c>
      <c r="D2084" s="86">
        <f>QUOTIENT(53647400000000,1000000)</f>
        <v>53647400</v>
      </c>
      <c r="E2084" s="86">
        <f>QUOTIENT(5643781300000,1000000)</f>
        <v>5643781</v>
      </c>
      <c r="F2084" s="87">
        <f>QUOTIENT(11911674400000,1000000)</f>
        <v>11911674</v>
      </c>
      <c r="G2084" s="87">
        <f>QUOTIENT(31912925300000,1000000)</f>
        <v>31912925</v>
      </c>
      <c r="H2084" s="88">
        <f>QUOTIENT(4179019000000,1000000)</f>
        <v>4179019</v>
      </c>
    </row>
    <row r="2085" spans="1:8" ht="21.75" customHeight="1" x14ac:dyDescent="0.15">
      <c r="A2085" s="250"/>
      <c r="B2085" s="23" t="s">
        <v>2373</v>
      </c>
      <c r="C2085" s="22">
        <v>404</v>
      </c>
      <c r="D2085" s="86">
        <f>QUOTIENT(4754250000000,1000000)</f>
        <v>4754250</v>
      </c>
      <c r="E2085" s="86">
        <f>QUOTIENT(351720600000,1000000)</f>
        <v>351720</v>
      </c>
      <c r="F2085" s="87">
        <f>QUOTIENT(75421800000,1000000)</f>
        <v>75421</v>
      </c>
      <c r="G2085" s="87">
        <f>QUOTIENT(4289544600000,1000000)</f>
        <v>4289544</v>
      </c>
      <c r="H2085" s="88">
        <f>QUOTIENT(37563000000,1000000)</f>
        <v>37563</v>
      </c>
    </row>
    <row r="2086" spans="1:8" ht="21.75" customHeight="1" x14ac:dyDescent="0.15">
      <c r="A2086" s="250"/>
      <c r="B2086" s="23" t="s">
        <v>2374</v>
      </c>
      <c r="C2086" s="22">
        <v>143</v>
      </c>
      <c r="D2086" s="86">
        <f>QUOTIENT(1232300000000,1000000)</f>
        <v>1232300</v>
      </c>
      <c r="E2086" s="86">
        <f>QUOTIENT(297670000000,1000000)</f>
        <v>297670</v>
      </c>
      <c r="F2086" s="87">
        <f>QUOTIENT(112500000000,1000000)</f>
        <v>112500</v>
      </c>
      <c r="G2086" s="87">
        <f>QUOTIENT(529230000000,1000000)</f>
        <v>529230</v>
      </c>
      <c r="H2086" s="88">
        <f>QUOTIENT(292900000000,1000000)</f>
        <v>292900</v>
      </c>
    </row>
    <row r="2087" spans="1:8" ht="21.75" customHeight="1" x14ac:dyDescent="0.15">
      <c r="A2087" s="250"/>
      <c r="B2087" s="23" t="s">
        <v>2375</v>
      </c>
      <c r="C2087" s="22">
        <v>24</v>
      </c>
      <c r="D2087" s="86">
        <f>QUOTIENT(165302000000,1000000)</f>
        <v>165302</v>
      </c>
      <c r="E2087" s="86">
        <f>QUOTIENT(114608000000,1000000)</f>
        <v>114608</v>
      </c>
      <c r="F2087" s="87">
        <f>QUOTIENT(6847000000,1000000)</f>
        <v>6847</v>
      </c>
      <c r="G2087" s="87">
        <f>QUOTIENT(21571000000,1000000)</f>
        <v>21571</v>
      </c>
      <c r="H2087" s="88">
        <f>QUOTIENT(22276000000,1000000)</f>
        <v>22276</v>
      </c>
    </row>
    <row r="2088" spans="1:8" ht="21.75" customHeight="1" x14ac:dyDescent="0.15">
      <c r="A2088" s="250"/>
      <c r="B2088" s="23" t="s">
        <v>2376</v>
      </c>
      <c r="C2088" s="22">
        <v>0</v>
      </c>
      <c r="D2088" s="86">
        <f>QUOTIENT(0,1000000)</f>
        <v>0</v>
      </c>
      <c r="E2088" s="86">
        <f>QUOTIENT(0,1000000)</f>
        <v>0</v>
      </c>
      <c r="F2088" s="87">
        <f>QUOTIENT(0,1000000)</f>
        <v>0</v>
      </c>
      <c r="G2088" s="87">
        <f>QUOTIENT(0,1000000)</f>
        <v>0</v>
      </c>
      <c r="H2088" s="88">
        <f>QUOTIENT(0,1000000)</f>
        <v>0</v>
      </c>
    </row>
    <row r="2089" spans="1:8" ht="21.75" customHeight="1" x14ac:dyDescent="0.15">
      <c r="A2089" s="250"/>
      <c r="B2089" s="23" t="s">
        <v>2377</v>
      </c>
      <c r="C2089" s="22">
        <v>235</v>
      </c>
      <c r="D2089" s="86">
        <f>QUOTIENT(6931290000000,1000000)</f>
        <v>6931290</v>
      </c>
      <c r="E2089" s="86">
        <f>QUOTIENT(599960000000,1000000)</f>
        <v>599960</v>
      </c>
      <c r="F2089" s="87">
        <f>QUOTIENT(2738610000000,1000000)</f>
        <v>2738610</v>
      </c>
      <c r="G2089" s="87">
        <f>QUOTIENT(2791990000000,1000000)</f>
        <v>2791990</v>
      </c>
      <c r="H2089" s="88">
        <f>QUOTIENT(800730000000,1000000)</f>
        <v>800730</v>
      </c>
    </row>
    <row r="2090" spans="1:8" ht="21.75" customHeight="1" x14ac:dyDescent="0.15">
      <c r="A2090" s="250"/>
      <c r="B2090" s="23" t="s">
        <v>2378</v>
      </c>
      <c r="C2090" s="22">
        <v>3556</v>
      </c>
      <c r="D2090" s="86">
        <f>QUOTIENT(69967429000000,1000000)</f>
        <v>69967429</v>
      </c>
      <c r="E2090" s="86">
        <f>QUOTIENT(16973393600000,1000000)</f>
        <v>16973393</v>
      </c>
      <c r="F2090" s="87">
        <f>QUOTIENT(11258020900000,1000000)</f>
        <v>11258020</v>
      </c>
      <c r="G2090" s="87">
        <f>QUOTIENT(32832828500000,1000000)</f>
        <v>32832828</v>
      </c>
      <c r="H2090" s="88">
        <f>QUOTIENT(8903186000000,1000000)</f>
        <v>8903186</v>
      </c>
    </row>
    <row r="2091" spans="1:8" ht="21.75" customHeight="1" x14ac:dyDescent="0.15">
      <c r="A2091" s="250"/>
      <c r="B2091" s="23" t="s">
        <v>2379</v>
      </c>
      <c r="C2091" s="22">
        <v>648</v>
      </c>
      <c r="D2091" s="86">
        <f>QUOTIENT(15348060000000,1000000)</f>
        <v>15348060</v>
      </c>
      <c r="E2091" s="86">
        <f>QUOTIENT(3229122500000,1000000)</f>
        <v>3229122</v>
      </c>
      <c r="F2091" s="87">
        <f>QUOTIENT(3016834400000,1000000)</f>
        <v>3016834</v>
      </c>
      <c r="G2091" s="87">
        <f>QUOTIENT(7502129300000,1000000)</f>
        <v>7502129</v>
      </c>
      <c r="H2091" s="88">
        <f>QUOTIENT(1599973800000,1000000)</f>
        <v>1599973</v>
      </c>
    </row>
    <row r="2092" spans="1:8" ht="21.75" customHeight="1" x14ac:dyDescent="0.15">
      <c r="A2092" s="250"/>
      <c r="B2092" s="23" t="s">
        <v>2380</v>
      </c>
      <c r="C2092" s="22">
        <v>60179</v>
      </c>
      <c r="D2092" s="86">
        <f>QUOTIENT(13373644353000,1000000)</f>
        <v>13373644</v>
      </c>
      <c r="E2092" s="86">
        <f>QUOTIENT(1053434700000,1000000)</f>
        <v>1053434</v>
      </c>
      <c r="F2092" s="87">
        <f>QUOTIENT(5183455834000,1000000)</f>
        <v>5183455</v>
      </c>
      <c r="G2092" s="87">
        <f>QUOTIENT(6731868819000,1000000)</f>
        <v>6731868</v>
      </c>
      <c r="H2092" s="88">
        <f>QUOTIENT(404885000000,1000000)</f>
        <v>404885</v>
      </c>
    </row>
    <row r="2093" spans="1:8" ht="21.75" customHeight="1" x14ac:dyDescent="0.15">
      <c r="A2093" s="250"/>
      <c r="B2093" s="23" t="s">
        <v>15</v>
      </c>
      <c r="C2093" s="22">
        <v>256</v>
      </c>
      <c r="D2093" s="86">
        <f>QUOTIENT(803761863000,1000000)</f>
        <v>803761</v>
      </c>
      <c r="E2093" s="86">
        <f>QUOTIENT(52721100000,1000000)</f>
        <v>52721</v>
      </c>
      <c r="F2093" s="87">
        <f>QUOTIENT(562071834000,1000000)</f>
        <v>562071</v>
      </c>
      <c r="G2093" s="87">
        <f>QUOTIENT(173968929000,1000000)</f>
        <v>173968</v>
      </c>
      <c r="H2093" s="88">
        <f>QUOTIENT(15000000000,1000000)</f>
        <v>15000</v>
      </c>
    </row>
    <row r="2094" spans="1:8" ht="21.75" customHeight="1" x14ac:dyDescent="0.15">
      <c r="A2094" s="250"/>
      <c r="B2094" s="23" t="s">
        <v>14</v>
      </c>
      <c r="C2094" s="22">
        <v>42</v>
      </c>
      <c r="D2094" s="86">
        <f>QUOTIENT(218900000000,1000000)</f>
        <v>218900</v>
      </c>
      <c r="E2094" s="86">
        <f>QUOTIENT(103499000000,1000000)</f>
        <v>103499</v>
      </c>
      <c r="F2094" s="87">
        <f>QUOTIENT(12500000000,1000000)</f>
        <v>12500</v>
      </c>
      <c r="G2094" s="87">
        <f>QUOTIENT(73399000000,1000000)</f>
        <v>73399</v>
      </c>
      <c r="H2094" s="88">
        <f>QUOTIENT(29502000000,1000000)</f>
        <v>29502</v>
      </c>
    </row>
    <row r="2095" spans="1:8" ht="21.75" customHeight="1" x14ac:dyDescent="0.15">
      <c r="A2095" s="250"/>
      <c r="B2095" s="23" t="s">
        <v>2381</v>
      </c>
      <c r="C2095" s="22">
        <v>541</v>
      </c>
      <c r="D2095" s="86">
        <f>QUOTIENT(2649469337000,1000000)</f>
        <v>2649469</v>
      </c>
      <c r="E2095" s="86">
        <f>QUOTIENT(196901230000,1000000)</f>
        <v>196901</v>
      </c>
      <c r="F2095" s="87">
        <f>QUOTIENT(1322011607000,1000000)</f>
        <v>1322011</v>
      </c>
      <c r="G2095" s="87">
        <f>QUOTIENT(1065661500000,1000000)</f>
        <v>1065661</v>
      </c>
      <c r="H2095" s="88">
        <f>QUOTIENT(64895000000,1000000)</f>
        <v>64895</v>
      </c>
    </row>
    <row r="2096" spans="1:8" ht="21.75" customHeight="1" x14ac:dyDescent="0.15">
      <c r="A2096" s="250"/>
      <c r="B2096" s="23" t="s">
        <v>2382</v>
      </c>
      <c r="C2096" s="22">
        <v>291</v>
      </c>
      <c r="D2096" s="86">
        <f>QUOTIENT(8389500000000,1000000)</f>
        <v>8389500</v>
      </c>
      <c r="E2096" s="86">
        <f>QUOTIENT(930795000000,1000000)</f>
        <v>930795</v>
      </c>
      <c r="F2096" s="87">
        <f>QUOTIENT(1786605000000,1000000)</f>
        <v>1786605</v>
      </c>
      <c r="G2096" s="87">
        <f>QUOTIENT(4868570000000,1000000)</f>
        <v>4868570</v>
      </c>
      <c r="H2096" s="88">
        <f>QUOTIENT(803530000000,1000000)</f>
        <v>803530</v>
      </c>
    </row>
    <row r="2097" spans="1:8" ht="21.75" customHeight="1" x14ac:dyDescent="0.15">
      <c r="A2097" s="250"/>
      <c r="B2097" s="23" t="s">
        <v>2383</v>
      </c>
      <c r="C2097" s="22">
        <v>76</v>
      </c>
      <c r="D2097" s="86">
        <f>QUOTIENT(2019450000000,1000000)</f>
        <v>2019450</v>
      </c>
      <c r="E2097" s="86">
        <f>QUOTIENT(205500000000,1000000)</f>
        <v>205500</v>
      </c>
      <c r="F2097" s="87">
        <f>QUOTIENT(694450000000,1000000)</f>
        <v>694450</v>
      </c>
      <c r="G2097" s="87">
        <f>QUOTIENT(889000000000,1000000)</f>
        <v>889000</v>
      </c>
      <c r="H2097" s="88">
        <f>QUOTIENT(230500000000,1000000)</f>
        <v>230500</v>
      </c>
    </row>
    <row r="2098" spans="1:8" ht="21.75" customHeight="1" x14ac:dyDescent="0.15">
      <c r="A2098" s="250"/>
      <c r="B2098" s="23" t="s">
        <v>2384</v>
      </c>
      <c r="C2098" s="22">
        <v>0</v>
      </c>
      <c r="D2098" s="86">
        <f t="shared" ref="D2098:H2100" si="52">QUOTIENT(0,1000000)</f>
        <v>0</v>
      </c>
      <c r="E2098" s="86">
        <f t="shared" si="52"/>
        <v>0</v>
      </c>
      <c r="F2098" s="87">
        <f t="shared" si="52"/>
        <v>0</v>
      </c>
      <c r="G2098" s="87">
        <f t="shared" si="52"/>
        <v>0</v>
      </c>
      <c r="H2098" s="88">
        <f t="shared" si="52"/>
        <v>0</v>
      </c>
    </row>
    <row r="2099" spans="1:8" ht="21.75" customHeight="1" x14ac:dyDescent="0.15">
      <c r="A2099" s="250"/>
      <c r="B2099" s="23" t="s">
        <v>9</v>
      </c>
      <c r="C2099" s="22">
        <v>0</v>
      </c>
      <c r="D2099" s="86">
        <f t="shared" si="52"/>
        <v>0</v>
      </c>
      <c r="E2099" s="86">
        <f t="shared" si="52"/>
        <v>0</v>
      </c>
      <c r="F2099" s="87">
        <f t="shared" si="52"/>
        <v>0</v>
      </c>
      <c r="G2099" s="87">
        <f t="shared" si="52"/>
        <v>0</v>
      </c>
      <c r="H2099" s="88">
        <f t="shared" si="52"/>
        <v>0</v>
      </c>
    </row>
    <row r="2100" spans="1:8" ht="21.75" customHeight="1" x14ac:dyDescent="0.15">
      <c r="A2100" s="250"/>
      <c r="B2100" s="23" t="s">
        <v>8</v>
      </c>
      <c r="C2100" s="22">
        <v>0</v>
      </c>
      <c r="D2100" s="86">
        <f t="shared" si="52"/>
        <v>0</v>
      </c>
      <c r="E2100" s="86">
        <f t="shared" si="52"/>
        <v>0</v>
      </c>
      <c r="F2100" s="87">
        <f t="shared" si="52"/>
        <v>0</v>
      </c>
      <c r="G2100" s="87">
        <f t="shared" si="52"/>
        <v>0</v>
      </c>
      <c r="H2100" s="88">
        <f t="shared" si="52"/>
        <v>0</v>
      </c>
    </row>
    <row r="2101" spans="1:8" ht="21.75" customHeight="1" x14ac:dyDescent="0.15">
      <c r="A2101" s="251"/>
      <c r="B2101" s="23" t="s">
        <v>7</v>
      </c>
      <c r="C2101" s="22">
        <v>29</v>
      </c>
      <c r="D2101" s="86">
        <f>QUOTIENT(17141900000,1000000)</f>
        <v>17141</v>
      </c>
      <c r="E2101" s="86">
        <f>QUOTIENT(466900000,1000000)</f>
        <v>466</v>
      </c>
      <c r="F2101" s="87">
        <f>QUOTIENT(14000000000,1000000)</f>
        <v>14000</v>
      </c>
      <c r="G2101" s="87">
        <f>QUOTIENT(2675000000,1000000)</f>
        <v>2675</v>
      </c>
      <c r="H2101" s="88">
        <f>QUOTIENT(0,1000000)</f>
        <v>0</v>
      </c>
    </row>
    <row r="2102" spans="1:8" ht="21.75" customHeight="1" x14ac:dyDescent="0.15">
      <c r="A2102" s="18" t="s">
        <v>6</v>
      </c>
      <c r="B2102" s="17" t="s">
        <v>2385</v>
      </c>
      <c r="C2102" s="16">
        <v>3452</v>
      </c>
      <c r="D2102" s="80">
        <v>20926841</v>
      </c>
      <c r="E2102" s="80">
        <v>818500</v>
      </c>
      <c r="F2102" s="81">
        <v>8811419</v>
      </c>
      <c r="G2102" s="81">
        <v>8916705</v>
      </c>
      <c r="H2102" s="82">
        <v>2380217</v>
      </c>
    </row>
    <row r="2103" spans="1:8" ht="21.75" customHeight="1" x14ac:dyDescent="0.15">
      <c r="A2103" s="252" t="s">
        <v>4</v>
      </c>
      <c r="B2103" s="12" t="s">
        <v>3</v>
      </c>
      <c r="C2103" s="11">
        <v>5819</v>
      </c>
      <c r="D2103" s="89">
        <v>68971115</v>
      </c>
      <c r="E2103" s="89">
        <v>41799269</v>
      </c>
      <c r="F2103" s="90">
        <v>11604205</v>
      </c>
      <c r="G2103" s="90">
        <v>9517591</v>
      </c>
      <c r="H2103" s="91">
        <v>6050049</v>
      </c>
    </row>
    <row r="2104" spans="1:8" ht="21.75" customHeight="1" thickBot="1" x14ac:dyDescent="0.2">
      <c r="A2104" s="253"/>
      <c r="B2104" s="7" t="s">
        <v>1153</v>
      </c>
      <c r="C2104" s="6">
        <v>6957</v>
      </c>
      <c r="D2104" s="92" t="s">
        <v>2386</v>
      </c>
      <c r="E2104" s="92" t="s">
        <v>2178</v>
      </c>
      <c r="F2104" s="92" t="s">
        <v>2178</v>
      </c>
      <c r="G2104" s="92" t="s">
        <v>2178</v>
      </c>
      <c r="H2104" s="93" t="s">
        <v>2178</v>
      </c>
    </row>
    <row r="2105" spans="1:8" ht="18" customHeight="1" x14ac:dyDescent="0.15">
      <c r="A2105" s="3" t="s">
        <v>1155</v>
      </c>
      <c r="B2105" s="2"/>
      <c r="C2105" s="2"/>
      <c r="D2105" s="2"/>
      <c r="E2105" s="2"/>
      <c r="F2105" s="2"/>
      <c r="G2105" s="2"/>
      <c r="H2105" s="2"/>
    </row>
    <row r="2106" spans="1:8" ht="18" customHeight="1" x14ac:dyDescent="0.15">
      <c r="A2106" s="3" t="s">
        <v>2587</v>
      </c>
      <c r="B2106" s="2"/>
      <c r="C2106" s="2"/>
      <c r="D2106" s="2"/>
      <c r="E2106" s="2"/>
      <c r="F2106" s="2"/>
      <c r="G2106" s="2"/>
      <c r="H2106" s="2"/>
    </row>
    <row r="2107" spans="1:8" ht="18" customHeight="1" x14ac:dyDescent="0.15">
      <c r="A2107" s="3" t="s">
        <v>2387</v>
      </c>
      <c r="B2107" s="2"/>
      <c r="C2107" s="2"/>
      <c r="D2107" s="2"/>
      <c r="E2107" s="2"/>
      <c r="F2107" s="2"/>
      <c r="G2107" s="2"/>
      <c r="H2107" s="2"/>
    </row>
    <row r="2108" spans="1:8" ht="12" x14ac:dyDescent="0.15">
      <c r="A2108" s="3" t="s">
        <v>2388</v>
      </c>
      <c r="B2108" s="2"/>
      <c r="C2108" s="2"/>
      <c r="D2108" s="2"/>
      <c r="E2108" s="2"/>
      <c r="F2108" s="2"/>
      <c r="G2108" s="2"/>
      <c r="H2108" s="2"/>
    </row>
    <row r="2109" spans="1:8" ht="24" customHeight="1" x14ac:dyDescent="0.15">
      <c r="A2109" s="230" t="s">
        <v>2315</v>
      </c>
      <c r="B2109" s="230"/>
      <c r="C2109" s="230"/>
      <c r="D2109" s="230"/>
      <c r="E2109" s="230"/>
      <c r="F2109" s="230"/>
      <c r="G2109" s="230"/>
      <c r="H2109" s="230"/>
    </row>
    <row r="2110" spans="1:8" ht="17.25" x14ac:dyDescent="0.15">
      <c r="A2110" s="231"/>
      <c r="B2110" s="231"/>
      <c r="C2110" s="231"/>
      <c r="D2110" s="231"/>
      <c r="E2110" s="231"/>
      <c r="F2110" s="231"/>
      <c r="G2110" s="231"/>
      <c r="H2110" s="231"/>
    </row>
    <row r="2111" spans="1:8" ht="18" customHeight="1" thickBot="1" x14ac:dyDescent="0.2">
      <c r="A2111" s="58" t="s">
        <v>2316</v>
      </c>
    </row>
    <row r="2112" spans="1:8" ht="18" customHeight="1" x14ac:dyDescent="0.15">
      <c r="A2112" s="232" t="s">
        <v>2317</v>
      </c>
      <c r="B2112" s="235" t="s">
        <v>2318</v>
      </c>
      <c r="C2112" s="238" t="s">
        <v>2319</v>
      </c>
      <c r="D2112" s="241" t="s">
        <v>2320</v>
      </c>
      <c r="E2112" s="57"/>
      <c r="F2112" s="56"/>
      <c r="G2112" s="56"/>
      <c r="H2112" s="55"/>
    </row>
    <row r="2113" spans="1:8" ht="18" customHeight="1" x14ac:dyDescent="0.15">
      <c r="A2113" s="233"/>
      <c r="B2113" s="236"/>
      <c r="C2113" s="239"/>
      <c r="D2113" s="242"/>
      <c r="E2113" s="244" t="s">
        <v>43</v>
      </c>
      <c r="F2113" s="246" t="s">
        <v>42</v>
      </c>
      <c r="G2113" s="246" t="s">
        <v>2321</v>
      </c>
      <c r="H2113" s="248" t="s">
        <v>2322</v>
      </c>
    </row>
    <row r="2114" spans="1:8" s="60" customFormat="1" ht="18" customHeight="1" thickBot="1" x14ac:dyDescent="0.2">
      <c r="A2114" s="234"/>
      <c r="B2114" s="237"/>
      <c r="C2114" s="240"/>
      <c r="D2114" s="243"/>
      <c r="E2114" s="245"/>
      <c r="F2114" s="247"/>
      <c r="G2114" s="247"/>
      <c r="H2114" s="249"/>
    </row>
    <row r="2115" spans="1:8" ht="21.75" customHeight="1" thickTop="1" x14ac:dyDescent="0.15">
      <c r="A2115" s="54"/>
      <c r="B2115" s="53"/>
      <c r="C2115" s="52"/>
      <c r="D2115" s="51" t="s">
        <v>2323</v>
      </c>
      <c r="E2115" s="50" t="s">
        <v>39</v>
      </c>
      <c r="F2115" s="49" t="s">
        <v>2323</v>
      </c>
      <c r="G2115" s="49" t="s">
        <v>39</v>
      </c>
      <c r="H2115" s="48" t="s">
        <v>2323</v>
      </c>
    </row>
    <row r="2116" spans="1:8" ht="21.75" customHeight="1" x14ac:dyDescent="0.15">
      <c r="A2116" s="250" t="s">
        <v>2324</v>
      </c>
      <c r="B2116" s="61" t="s">
        <v>37</v>
      </c>
      <c r="C2116" s="62">
        <v>3814</v>
      </c>
      <c r="D2116" s="63">
        <f>QUOTIENT(597070406714481,1000000)</f>
        <v>597070406</v>
      </c>
      <c r="E2116" s="63">
        <f>QUOTIENT(225114895972394,1000000)</f>
        <v>225114895</v>
      </c>
      <c r="F2116" s="64">
        <f>QUOTIENT(183189309086057,1000000)</f>
        <v>183189309</v>
      </c>
      <c r="G2116" s="64">
        <f>QUOTIENT(185359989652864,1000000)</f>
        <v>185359989</v>
      </c>
      <c r="H2116" s="65">
        <f>QUOTIENT(3406212003165,1000000)</f>
        <v>3406212</v>
      </c>
    </row>
    <row r="2117" spans="1:8" ht="21.75" customHeight="1" x14ac:dyDescent="0.15">
      <c r="A2117" s="250"/>
      <c r="B2117" s="66" t="s">
        <v>36</v>
      </c>
      <c r="C2117" s="67">
        <v>25</v>
      </c>
      <c r="D2117" s="68">
        <f>QUOTIENT(259958478500,1000000)</f>
        <v>259958</v>
      </c>
      <c r="E2117" s="68">
        <f>QUOTIENT(90043734500,1000000)</f>
        <v>90043</v>
      </c>
      <c r="F2117" s="69">
        <f>QUOTIENT(153054586500,1000000)</f>
        <v>153054</v>
      </c>
      <c r="G2117" s="69">
        <f>QUOTIENT(16860157500,1000000)</f>
        <v>16860</v>
      </c>
      <c r="H2117" s="70">
        <f>QUOTIENT(0,1000000)</f>
        <v>0</v>
      </c>
    </row>
    <row r="2118" spans="1:8" ht="21.75" customHeight="1" x14ac:dyDescent="0.15">
      <c r="A2118" s="250"/>
      <c r="B2118" s="66" t="s">
        <v>2325</v>
      </c>
      <c r="C2118" s="67">
        <v>93</v>
      </c>
      <c r="D2118" s="68">
        <f>QUOTIENT(0,1000000)</f>
        <v>0</v>
      </c>
      <c r="E2118" s="68">
        <f>QUOTIENT(0,1000000)</f>
        <v>0</v>
      </c>
      <c r="F2118" s="69">
        <f>QUOTIENT(0,1000000)</f>
        <v>0</v>
      </c>
      <c r="G2118" s="69">
        <f>QUOTIENT(0,1000000)</f>
        <v>0</v>
      </c>
      <c r="H2118" s="70">
        <f>QUOTIENT(0,1000000)</f>
        <v>0</v>
      </c>
    </row>
    <row r="2119" spans="1:8" ht="21.75" customHeight="1" x14ac:dyDescent="0.15">
      <c r="A2119" s="250"/>
      <c r="B2119" s="71" t="s">
        <v>2326</v>
      </c>
      <c r="C2119" s="72">
        <v>1</v>
      </c>
      <c r="D2119" s="73">
        <f>QUOTIENT(170539857600,1000000)</f>
        <v>170539</v>
      </c>
      <c r="E2119" s="73">
        <f>QUOTIENT(128402506400,1000000)</f>
        <v>128402</v>
      </c>
      <c r="F2119" s="74">
        <f>QUOTIENT(8455451200,1000000)</f>
        <v>8455</v>
      </c>
      <c r="G2119" s="74">
        <f>QUOTIENT(31969330400,1000000)</f>
        <v>31969</v>
      </c>
      <c r="H2119" s="75">
        <f>QUOTIENT(1712569600,1000000)</f>
        <v>1712</v>
      </c>
    </row>
    <row r="2120" spans="1:8" ht="21.75" customHeight="1" x14ac:dyDescent="0.15">
      <c r="A2120" s="250"/>
      <c r="B2120" s="66" t="s">
        <v>2327</v>
      </c>
      <c r="C2120" s="67">
        <v>71</v>
      </c>
      <c r="D2120" s="68">
        <f>QUOTIENT(15695587233380,1000000)</f>
        <v>15695587</v>
      </c>
      <c r="E2120" s="68">
        <f>QUOTIENT(4081476139970,1000000)</f>
        <v>4081476</v>
      </c>
      <c r="F2120" s="69">
        <f>QUOTIENT(4297689981540,1000000)</f>
        <v>4297689</v>
      </c>
      <c r="G2120" s="69">
        <f>QUOTIENT(7217245350470,1000000)</f>
        <v>7217245</v>
      </c>
      <c r="H2120" s="70">
        <f>QUOTIENT(99175761400,1000000)</f>
        <v>99175</v>
      </c>
    </row>
    <row r="2121" spans="1:8" ht="21.75" customHeight="1" x14ac:dyDescent="0.15">
      <c r="A2121" s="250"/>
      <c r="B2121" s="76" t="s">
        <v>2328</v>
      </c>
      <c r="C2121" s="67">
        <v>180</v>
      </c>
      <c r="D2121" s="68">
        <f>QUOTIENT(39461398824962,1000000)</f>
        <v>39461398</v>
      </c>
      <c r="E2121" s="68">
        <f>QUOTIENT(3851840640779,1000000)</f>
        <v>3851840</v>
      </c>
      <c r="F2121" s="69">
        <f>QUOTIENT(1108305597064,1000000)</f>
        <v>1108305</v>
      </c>
      <c r="G2121" s="69">
        <f>QUOTIENT(34428160889217,1000000)</f>
        <v>34428160</v>
      </c>
      <c r="H2121" s="70">
        <f>QUOTIENT(73091697902,1000000)</f>
        <v>73091</v>
      </c>
    </row>
    <row r="2122" spans="1:8" ht="21.75" customHeight="1" x14ac:dyDescent="0.15">
      <c r="A2122" s="251"/>
      <c r="B2122" s="77" t="s">
        <v>2329</v>
      </c>
      <c r="C2122" s="72">
        <v>41</v>
      </c>
      <c r="D2122" s="73">
        <f>QUOTIENT(228583175912,1000000)</f>
        <v>228583</v>
      </c>
      <c r="E2122" s="73">
        <f>QUOTIENT(190721411400,1000000)</f>
        <v>190721</v>
      </c>
      <c r="F2122" s="74">
        <f>QUOTIENT(1210081836,1000000)</f>
        <v>1210</v>
      </c>
      <c r="G2122" s="74">
        <f>QUOTIENT(35733510266,1000000)</f>
        <v>35733</v>
      </c>
      <c r="H2122" s="75">
        <f>QUOTIENT(918172410,1000000)</f>
        <v>918</v>
      </c>
    </row>
    <row r="2123" spans="1:8" ht="21.75" customHeight="1" x14ac:dyDescent="0.15">
      <c r="A2123" s="30" t="s">
        <v>2330</v>
      </c>
      <c r="B2123" s="78" t="s">
        <v>2331</v>
      </c>
      <c r="C2123" s="79">
        <v>28</v>
      </c>
      <c r="D2123" s="80">
        <f>QUOTIENT(68143068688,1000000)</f>
        <v>68143</v>
      </c>
      <c r="E2123" s="80">
        <f>QUOTIENT(65740250570,1000000)</f>
        <v>65740</v>
      </c>
      <c r="F2123" s="81">
        <f>QUOTIENT(490612302,1000000)</f>
        <v>490</v>
      </c>
      <c r="G2123" s="81">
        <f>QUOTIENT(482738000,1000000)</f>
        <v>482</v>
      </c>
      <c r="H2123" s="82">
        <f>QUOTIENT(1429467816,1000000)</f>
        <v>1429</v>
      </c>
    </row>
    <row r="2124" spans="1:8" ht="21.75" customHeight="1" x14ac:dyDescent="0.15">
      <c r="A2124" s="252" t="s">
        <v>2332</v>
      </c>
      <c r="B2124" s="17" t="s">
        <v>2333</v>
      </c>
      <c r="C2124" s="16">
        <v>3206</v>
      </c>
      <c r="D2124" s="83">
        <f>QUOTIENT(62059977070000,1000000)</f>
        <v>62059977</v>
      </c>
      <c r="E2124" s="83">
        <f>QUOTIENT(9665392560000,1000000)</f>
        <v>9665392</v>
      </c>
      <c r="F2124" s="84">
        <f>QUOTIENT(14818864490000,1000000)</f>
        <v>14818864</v>
      </c>
      <c r="G2124" s="84">
        <f>QUOTIENT(29756134190000,1000000)</f>
        <v>29756134</v>
      </c>
      <c r="H2124" s="85">
        <f>QUOTIENT(7819585830000,1000000)</f>
        <v>7819585</v>
      </c>
    </row>
    <row r="2125" spans="1:8" ht="21.75" customHeight="1" x14ac:dyDescent="0.15">
      <c r="A2125" s="250"/>
      <c r="B2125" s="23" t="s">
        <v>2334</v>
      </c>
      <c r="C2125" s="22">
        <v>3377</v>
      </c>
      <c r="D2125" s="86">
        <f>QUOTIENT(14589100855000,1000000)</f>
        <v>14589100</v>
      </c>
      <c r="E2125" s="86">
        <f>QUOTIENT(618246130000,1000000)</f>
        <v>618246</v>
      </c>
      <c r="F2125" s="87">
        <f>QUOTIENT(5640621273000,1000000)</f>
        <v>5640621</v>
      </c>
      <c r="G2125" s="87">
        <f>QUOTIENT(6728624082000,1000000)</f>
        <v>6728624</v>
      </c>
      <c r="H2125" s="88">
        <f>QUOTIENT(1601609370000,1000000)</f>
        <v>1601609</v>
      </c>
    </row>
    <row r="2126" spans="1:8" ht="21.75" customHeight="1" x14ac:dyDescent="0.15">
      <c r="A2126" s="250"/>
      <c r="B2126" s="24" t="s">
        <v>2335</v>
      </c>
      <c r="C2126" s="22">
        <v>629</v>
      </c>
      <c r="D2126" s="86">
        <f>QUOTIENT(28372270000000,1000000)</f>
        <v>28372270</v>
      </c>
      <c r="E2126" s="86">
        <f>QUOTIENT(1979201100000,1000000)</f>
        <v>1979201</v>
      </c>
      <c r="F2126" s="87">
        <f>QUOTIENT(9862693200000,1000000)</f>
        <v>9862693</v>
      </c>
      <c r="G2126" s="87">
        <f>QUOTIENT(13004185400000,1000000)</f>
        <v>13004185</v>
      </c>
      <c r="H2126" s="88">
        <f>QUOTIENT(3526190300000,1000000)</f>
        <v>3526190</v>
      </c>
    </row>
    <row r="2127" spans="1:8" ht="21.75" customHeight="1" x14ac:dyDescent="0.15">
      <c r="A2127" s="250"/>
      <c r="B2127" s="23" t="s">
        <v>24</v>
      </c>
      <c r="C2127" s="22">
        <v>1851</v>
      </c>
      <c r="D2127" s="86">
        <f>QUOTIENT(53573100000000,1000000)</f>
        <v>53573100</v>
      </c>
      <c r="E2127" s="86">
        <f>QUOTIENT(5525475300000,1000000)</f>
        <v>5525475</v>
      </c>
      <c r="F2127" s="87">
        <f>QUOTIENT(11707519500000,1000000)</f>
        <v>11707519</v>
      </c>
      <c r="G2127" s="87">
        <f>QUOTIENT(32103906200000,1000000)</f>
        <v>32103906</v>
      </c>
      <c r="H2127" s="88">
        <f>QUOTIENT(4236199000000,1000000)</f>
        <v>4236199</v>
      </c>
    </row>
    <row r="2128" spans="1:8" ht="21.75" customHeight="1" x14ac:dyDescent="0.15">
      <c r="A2128" s="250"/>
      <c r="B2128" s="23" t="s">
        <v>2336</v>
      </c>
      <c r="C2128" s="22">
        <v>403</v>
      </c>
      <c r="D2128" s="86">
        <f>QUOTIENT(4799135000000,1000000)</f>
        <v>4799135</v>
      </c>
      <c r="E2128" s="86">
        <f>QUOTIENT(354609800000,1000000)</f>
        <v>354609</v>
      </c>
      <c r="F2128" s="87">
        <f>QUOTIENT(75119700000,1000000)</f>
        <v>75119</v>
      </c>
      <c r="G2128" s="87">
        <f>QUOTIENT(4331104500000,1000000)</f>
        <v>4331104</v>
      </c>
      <c r="H2128" s="88">
        <f>QUOTIENT(38301000000,1000000)</f>
        <v>38301</v>
      </c>
    </row>
    <row r="2129" spans="1:8" ht="21.75" customHeight="1" x14ac:dyDescent="0.15">
      <c r="A2129" s="250"/>
      <c r="B2129" s="23" t="s">
        <v>2337</v>
      </c>
      <c r="C2129" s="22">
        <v>140</v>
      </c>
      <c r="D2129" s="86">
        <f>QUOTIENT(1208300000000,1000000)</f>
        <v>1208300</v>
      </c>
      <c r="E2129" s="86">
        <f>QUOTIENT(298570000000,1000000)</f>
        <v>298570</v>
      </c>
      <c r="F2129" s="87">
        <f>QUOTIENT(101100000000,1000000)</f>
        <v>101100</v>
      </c>
      <c r="G2129" s="87">
        <f>QUOTIENT(518530000000,1000000)</f>
        <v>518530</v>
      </c>
      <c r="H2129" s="88">
        <f>QUOTIENT(290100000000,1000000)</f>
        <v>290100</v>
      </c>
    </row>
    <row r="2130" spans="1:8" ht="21.75" customHeight="1" x14ac:dyDescent="0.15">
      <c r="A2130" s="250"/>
      <c r="B2130" s="23" t="s">
        <v>2338</v>
      </c>
      <c r="C2130" s="22">
        <v>26</v>
      </c>
      <c r="D2130" s="86">
        <f>QUOTIENT(189221000000,1000000)</f>
        <v>189221</v>
      </c>
      <c r="E2130" s="86">
        <f>QUOTIENT(116614000000,1000000)</f>
        <v>116614</v>
      </c>
      <c r="F2130" s="87">
        <f>QUOTIENT(12097000000,1000000)</f>
        <v>12097</v>
      </c>
      <c r="G2130" s="87">
        <f>QUOTIENT(26359000000,1000000)</f>
        <v>26359</v>
      </c>
      <c r="H2130" s="88">
        <f>QUOTIENT(34151000000,1000000)</f>
        <v>34151</v>
      </c>
    </row>
    <row r="2131" spans="1:8" ht="21.75" customHeight="1" x14ac:dyDescent="0.15">
      <c r="A2131" s="250"/>
      <c r="B2131" s="23" t="s">
        <v>2339</v>
      </c>
      <c r="C2131" s="22">
        <v>0</v>
      </c>
      <c r="D2131" s="86">
        <f>QUOTIENT(0,1000000)</f>
        <v>0</v>
      </c>
      <c r="E2131" s="86">
        <f>QUOTIENT(0,1000000)</f>
        <v>0</v>
      </c>
      <c r="F2131" s="87">
        <f>QUOTIENT(0,1000000)</f>
        <v>0</v>
      </c>
      <c r="G2131" s="87">
        <f>QUOTIENT(0,1000000)</f>
        <v>0</v>
      </c>
      <c r="H2131" s="88">
        <f>QUOTIENT(0,1000000)</f>
        <v>0</v>
      </c>
    </row>
    <row r="2132" spans="1:8" ht="21.75" customHeight="1" x14ac:dyDescent="0.15">
      <c r="A2132" s="250"/>
      <c r="B2132" s="23" t="s">
        <v>2340</v>
      </c>
      <c r="C2132" s="22">
        <v>235</v>
      </c>
      <c r="D2132" s="86">
        <f>QUOTIENT(7038150000000,1000000)</f>
        <v>7038150</v>
      </c>
      <c r="E2132" s="86">
        <f>QUOTIENT(612460000000,1000000)</f>
        <v>612460</v>
      </c>
      <c r="F2132" s="87">
        <f>QUOTIENT(2765190000000,1000000)</f>
        <v>2765190</v>
      </c>
      <c r="G2132" s="87">
        <f>QUOTIENT(2833120000000,1000000)</f>
        <v>2833120</v>
      </c>
      <c r="H2132" s="88">
        <f>QUOTIENT(827380000000,1000000)</f>
        <v>827380</v>
      </c>
    </row>
    <row r="2133" spans="1:8" ht="21.75" customHeight="1" x14ac:dyDescent="0.15">
      <c r="A2133" s="250"/>
      <c r="B2133" s="23" t="s">
        <v>2341</v>
      </c>
      <c r="C2133" s="22">
        <v>3554</v>
      </c>
      <c r="D2133" s="86">
        <f>QUOTIENT(69871213000000,1000000)</f>
        <v>69871213</v>
      </c>
      <c r="E2133" s="86">
        <f>QUOTIENT(16749257800000,1000000)</f>
        <v>16749257</v>
      </c>
      <c r="F2133" s="87">
        <f>QUOTIENT(11144955500000,1000000)</f>
        <v>11144955</v>
      </c>
      <c r="G2133" s="87">
        <f>QUOTIENT(33179554700000,1000000)</f>
        <v>33179554</v>
      </c>
      <c r="H2133" s="88">
        <f>QUOTIENT(8797445000000,1000000)</f>
        <v>8797445</v>
      </c>
    </row>
    <row r="2134" spans="1:8" ht="21.75" customHeight="1" x14ac:dyDescent="0.15">
      <c r="A2134" s="250"/>
      <c r="B2134" s="23" t="s">
        <v>2342</v>
      </c>
      <c r="C2134" s="22">
        <v>653</v>
      </c>
      <c r="D2134" s="86">
        <f>QUOTIENT(15423060000000,1000000)</f>
        <v>15423060</v>
      </c>
      <c r="E2134" s="86">
        <f>QUOTIENT(3219852900000,1000000)</f>
        <v>3219852</v>
      </c>
      <c r="F2134" s="87">
        <f>QUOTIENT(2940152900000,1000000)</f>
        <v>2940152</v>
      </c>
      <c r="G2134" s="87">
        <f>QUOTIENT(7635505400000,1000000)</f>
        <v>7635505</v>
      </c>
      <c r="H2134" s="88">
        <f>QUOTIENT(1627548800000,1000000)</f>
        <v>1627548</v>
      </c>
    </row>
    <row r="2135" spans="1:8" ht="21.75" customHeight="1" x14ac:dyDescent="0.15">
      <c r="A2135" s="250"/>
      <c r="B2135" s="23" t="s">
        <v>16</v>
      </c>
      <c r="C2135" s="22">
        <v>59018</v>
      </c>
      <c r="D2135" s="86">
        <f>QUOTIENT(13354321266000,1000000)</f>
        <v>13354321</v>
      </c>
      <c r="E2135" s="86">
        <f>QUOTIENT(1060840700000,1000000)</f>
        <v>1060840</v>
      </c>
      <c r="F2135" s="87">
        <f>QUOTIENT(5190699068000,1000000)</f>
        <v>5190699</v>
      </c>
      <c r="G2135" s="87">
        <f>QUOTIENT(6692236498000,1000000)</f>
        <v>6692236</v>
      </c>
      <c r="H2135" s="88">
        <f>QUOTIENT(410545000000,1000000)</f>
        <v>410545</v>
      </c>
    </row>
    <row r="2136" spans="1:8" ht="21.75" customHeight="1" x14ac:dyDescent="0.15">
      <c r="A2136" s="250"/>
      <c r="B2136" s="23" t="s">
        <v>2343</v>
      </c>
      <c r="C2136" s="22">
        <v>291</v>
      </c>
      <c r="D2136" s="86">
        <f>QUOTIENT(878723676000,1000000)</f>
        <v>878723</v>
      </c>
      <c r="E2136" s="86">
        <f>QUOTIENT(52721100000,1000000)</f>
        <v>52721</v>
      </c>
      <c r="F2136" s="87">
        <f>QUOTIENT(583836068000,1000000)</f>
        <v>583836</v>
      </c>
      <c r="G2136" s="87">
        <f>QUOTIENT(227166508000,1000000)</f>
        <v>227166</v>
      </c>
      <c r="H2136" s="88">
        <f>QUOTIENT(15000000000,1000000)</f>
        <v>15000</v>
      </c>
    </row>
    <row r="2137" spans="1:8" ht="21.75" customHeight="1" x14ac:dyDescent="0.15">
      <c r="A2137" s="250"/>
      <c r="B2137" s="23" t="s">
        <v>2344</v>
      </c>
      <c r="C2137" s="22">
        <v>42</v>
      </c>
      <c r="D2137" s="86">
        <f>QUOTIENT(218900000000,1000000)</f>
        <v>218900</v>
      </c>
      <c r="E2137" s="86">
        <f>QUOTIENT(100602000000,1000000)</f>
        <v>100602</v>
      </c>
      <c r="F2137" s="87">
        <f>QUOTIENT(12500000000,1000000)</f>
        <v>12500</v>
      </c>
      <c r="G2137" s="87">
        <f>QUOTIENT(76496000000,1000000)</f>
        <v>76496</v>
      </c>
      <c r="H2137" s="88">
        <f>QUOTIENT(29302000000,1000000)</f>
        <v>29302</v>
      </c>
    </row>
    <row r="2138" spans="1:8" ht="21.75" customHeight="1" x14ac:dyDescent="0.15">
      <c r="A2138" s="250"/>
      <c r="B2138" s="23" t="s">
        <v>2345</v>
      </c>
      <c r="C2138" s="22">
        <v>531</v>
      </c>
      <c r="D2138" s="86">
        <f>QUOTIENT(2617071337000,1000000)</f>
        <v>2617071</v>
      </c>
      <c r="E2138" s="86">
        <f>QUOTIENT(196301230000,1000000)</f>
        <v>196301</v>
      </c>
      <c r="F2138" s="87">
        <f>QUOTIENT(1309905607000,1000000)</f>
        <v>1309905</v>
      </c>
      <c r="G2138" s="87">
        <f>QUOTIENT(1045969500000,1000000)</f>
        <v>1045969</v>
      </c>
      <c r="H2138" s="88">
        <f>QUOTIENT(64895000000,1000000)</f>
        <v>64895</v>
      </c>
    </row>
    <row r="2139" spans="1:8" ht="21.75" customHeight="1" x14ac:dyDescent="0.15">
      <c r="A2139" s="250"/>
      <c r="B2139" s="23" t="s">
        <v>12</v>
      </c>
      <c r="C2139" s="22">
        <v>291</v>
      </c>
      <c r="D2139" s="86">
        <f>QUOTIENT(8389500000000,1000000)</f>
        <v>8389500</v>
      </c>
      <c r="E2139" s="86">
        <f>QUOTIENT(900485000000,1000000)</f>
        <v>900485</v>
      </c>
      <c r="F2139" s="87">
        <f>QUOTIENT(1812105000000,1000000)</f>
        <v>1812105</v>
      </c>
      <c r="G2139" s="87">
        <f>QUOTIENT(4874780000000,1000000)</f>
        <v>4874780</v>
      </c>
      <c r="H2139" s="88">
        <f>QUOTIENT(802130000000,1000000)</f>
        <v>802130</v>
      </c>
    </row>
    <row r="2140" spans="1:8" ht="21.75" customHeight="1" x14ac:dyDescent="0.15">
      <c r="A2140" s="250"/>
      <c r="B2140" s="23" t="s">
        <v>11</v>
      </c>
      <c r="C2140" s="22">
        <v>73</v>
      </c>
      <c r="D2140" s="86">
        <f>QUOTIENT(2105450000000,1000000)</f>
        <v>2105450</v>
      </c>
      <c r="E2140" s="86">
        <f>QUOTIENT(184000000000,1000000)</f>
        <v>184000</v>
      </c>
      <c r="F2140" s="87">
        <f>QUOTIENT(725050000000,1000000)</f>
        <v>725050</v>
      </c>
      <c r="G2140" s="87">
        <f>QUOTIENT(964600000000,1000000)</f>
        <v>964600</v>
      </c>
      <c r="H2140" s="88">
        <f>QUOTIENT(231800000000,1000000)</f>
        <v>231800</v>
      </c>
    </row>
    <row r="2141" spans="1:8" ht="21.75" customHeight="1" x14ac:dyDescent="0.15">
      <c r="A2141" s="250"/>
      <c r="B2141" s="23" t="s">
        <v>2346</v>
      </c>
      <c r="C2141" s="22">
        <v>0</v>
      </c>
      <c r="D2141" s="86">
        <f t="shared" ref="D2141:H2143" si="53">QUOTIENT(0,1000000)</f>
        <v>0</v>
      </c>
      <c r="E2141" s="86">
        <f t="shared" si="53"/>
        <v>0</v>
      </c>
      <c r="F2141" s="87">
        <f t="shared" si="53"/>
        <v>0</v>
      </c>
      <c r="G2141" s="87">
        <f t="shared" si="53"/>
        <v>0</v>
      </c>
      <c r="H2141" s="88">
        <f t="shared" si="53"/>
        <v>0</v>
      </c>
    </row>
    <row r="2142" spans="1:8" ht="21.75" customHeight="1" x14ac:dyDescent="0.15">
      <c r="A2142" s="250"/>
      <c r="B2142" s="23" t="s">
        <v>2347</v>
      </c>
      <c r="C2142" s="22">
        <v>0</v>
      </c>
      <c r="D2142" s="86">
        <f t="shared" si="53"/>
        <v>0</v>
      </c>
      <c r="E2142" s="86">
        <f t="shared" si="53"/>
        <v>0</v>
      </c>
      <c r="F2142" s="87">
        <f t="shared" si="53"/>
        <v>0</v>
      </c>
      <c r="G2142" s="87">
        <f t="shared" si="53"/>
        <v>0</v>
      </c>
      <c r="H2142" s="88">
        <f t="shared" si="53"/>
        <v>0</v>
      </c>
    </row>
    <row r="2143" spans="1:8" ht="21.75" customHeight="1" x14ac:dyDescent="0.15">
      <c r="A2143" s="250"/>
      <c r="B2143" s="23" t="s">
        <v>2348</v>
      </c>
      <c r="C2143" s="22">
        <v>0</v>
      </c>
      <c r="D2143" s="86">
        <f t="shared" si="53"/>
        <v>0</v>
      </c>
      <c r="E2143" s="86">
        <f t="shared" si="53"/>
        <v>0</v>
      </c>
      <c r="F2143" s="87">
        <f t="shared" si="53"/>
        <v>0</v>
      </c>
      <c r="G2143" s="87">
        <f t="shared" si="53"/>
        <v>0</v>
      </c>
      <c r="H2143" s="88">
        <f t="shared" si="53"/>
        <v>0</v>
      </c>
    </row>
    <row r="2144" spans="1:8" ht="21.75" customHeight="1" x14ac:dyDescent="0.15">
      <c r="A2144" s="251"/>
      <c r="B2144" s="23" t="s">
        <v>2349</v>
      </c>
      <c r="C2144" s="22">
        <v>25</v>
      </c>
      <c r="D2144" s="86">
        <f>QUOTIENT(16341900000,1000000)</f>
        <v>16341</v>
      </c>
      <c r="E2144" s="86">
        <f>QUOTIENT(466900000,1000000)</f>
        <v>466</v>
      </c>
      <c r="F2144" s="87">
        <f>QUOTIENT(14000000000,1000000)</f>
        <v>14000</v>
      </c>
      <c r="G2144" s="87">
        <f>QUOTIENT(1875000000,1000000)</f>
        <v>1875</v>
      </c>
      <c r="H2144" s="88">
        <f>QUOTIENT(0,1000000)</f>
        <v>0</v>
      </c>
    </row>
    <row r="2145" spans="1:8" ht="21.75" customHeight="1" x14ac:dyDescent="0.15">
      <c r="A2145" s="18" t="s">
        <v>2350</v>
      </c>
      <c r="B2145" s="17" t="s">
        <v>2351</v>
      </c>
      <c r="C2145" s="16">
        <v>3443</v>
      </c>
      <c r="D2145" s="80">
        <v>22774205</v>
      </c>
      <c r="E2145" s="80">
        <v>741400</v>
      </c>
      <c r="F2145" s="81">
        <v>10471896</v>
      </c>
      <c r="G2145" s="81">
        <v>8731909</v>
      </c>
      <c r="H2145" s="82">
        <v>2829000</v>
      </c>
    </row>
    <row r="2146" spans="1:8" ht="21.75" customHeight="1" x14ac:dyDescent="0.15">
      <c r="A2146" s="252" t="s">
        <v>2352</v>
      </c>
      <c r="B2146" s="12" t="s">
        <v>2353</v>
      </c>
      <c r="C2146" s="11">
        <v>5834</v>
      </c>
      <c r="D2146" s="89">
        <v>76843744</v>
      </c>
      <c r="E2146" s="89">
        <v>46586344</v>
      </c>
      <c r="F2146" s="90">
        <v>12908063</v>
      </c>
      <c r="G2146" s="90">
        <v>10618728</v>
      </c>
      <c r="H2146" s="91">
        <v>6730607</v>
      </c>
    </row>
    <row r="2147" spans="1:8" ht="21.75" customHeight="1" thickBot="1" x14ac:dyDescent="0.2">
      <c r="A2147" s="253"/>
      <c r="B2147" s="7" t="s">
        <v>2354</v>
      </c>
      <c r="C2147" s="6">
        <v>6935</v>
      </c>
      <c r="D2147" s="92" t="s">
        <v>2355</v>
      </c>
      <c r="E2147" s="92" t="s">
        <v>2355</v>
      </c>
      <c r="F2147" s="92" t="s">
        <v>2355</v>
      </c>
      <c r="G2147" s="92" t="s">
        <v>2355</v>
      </c>
      <c r="H2147" s="93" t="s">
        <v>2355</v>
      </c>
    </row>
    <row r="2148" spans="1:8" ht="18" customHeight="1" x14ac:dyDescent="0.15">
      <c r="A2148" s="3" t="s">
        <v>2356</v>
      </c>
      <c r="B2148" s="2"/>
      <c r="C2148" s="2"/>
      <c r="D2148" s="2"/>
      <c r="E2148" s="2"/>
      <c r="F2148" s="2"/>
      <c r="G2148" s="2"/>
      <c r="H2148" s="2"/>
    </row>
    <row r="2149" spans="1:8" ht="18" customHeight="1" x14ac:dyDescent="0.15">
      <c r="A2149" s="3" t="s">
        <v>2587</v>
      </c>
      <c r="B2149" s="2"/>
      <c r="C2149" s="2"/>
      <c r="D2149" s="2"/>
      <c r="E2149" s="2"/>
      <c r="F2149" s="2"/>
      <c r="G2149" s="2"/>
      <c r="H2149" s="2"/>
    </row>
    <row r="2150" spans="1:8" ht="18" customHeight="1" x14ac:dyDescent="0.15">
      <c r="A2150" s="3" t="s">
        <v>2357</v>
      </c>
      <c r="B2150" s="2"/>
      <c r="C2150" s="2"/>
      <c r="D2150" s="2"/>
      <c r="E2150" s="2"/>
      <c r="F2150" s="2"/>
      <c r="G2150" s="2"/>
      <c r="H2150" s="2"/>
    </row>
    <row r="2151" spans="1:8" ht="18" customHeight="1" x14ac:dyDescent="0.15">
      <c r="A2151" s="3" t="s">
        <v>2358</v>
      </c>
      <c r="B2151" s="2"/>
      <c r="C2151" s="2"/>
      <c r="D2151" s="2"/>
      <c r="E2151" s="2"/>
      <c r="F2151" s="2"/>
      <c r="G2151" s="2"/>
      <c r="H2151" s="2"/>
    </row>
    <row r="2152" spans="1:8" ht="24" customHeight="1" x14ac:dyDescent="0.15">
      <c r="A2152" s="230" t="s">
        <v>2275</v>
      </c>
      <c r="B2152" s="230"/>
      <c r="C2152" s="230"/>
      <c r="D2152" s="230"/>
      <c r="E2152" s="230"/>
      <c r="F2152" s="230"/>
      <c r="G2152" s="230"/>
      <c r="H2152" s="230"/>
    </row>
    <row r="2153" spans="1:8" ht="18" customHeight="1" x14ac:dyDescent="0.15">
      <c r="A2153" s="231"/>
      <c r="B2153" s="231"/>
      <c r="C2153" s="231"/>
      <c r="D2153" s="231"/>
      <c r="E2153" s="231"/>
      <c r="F2153" s="231"/>
      <c r="G2153" s="231"/>
      <c r="H2153" s="231"/>
    </row>
    <row r="2154" spans="1:8" ht="18" customHeight="1" thickBot="1" x14ac:dyDescent="0.2">
      <c r="A2154" s="58" t="s">
        <v>2276</v>
      </c>
    </row>
    <row r="2155" spans="1:8" ht="18" customHeight="1" x14ac:dyDescent="0.15">
      <c r="A2155" s="232" t="s">
        <v>47</v>
      </c>
      <c r="B2155" s="235" t="s">
        <v>2277</v>
      </c>
      <c r="C2155" s="238" t="s">
        <v>2278</v>
      </c>
      <c r="D2155" s="241" t="s">
        <v>2279</v>
      </c>
      <c r="E2155" s="57"/>
      <c r="F2155" s="56"/>
      <c r="G2155" s="56"/>
      <c r="H2155" s="55"/>
    </row>
    <row r="2156" spans="1:8" ht="18" customHeight="1" x14ac:dyDescent="0.15">
      <c r="A2156" s="233"/>
      <c r="B2156" s="236"/>
      <c r="C2156" s="239"/>
      <c r="D2156" s="242"/>
      <c r="E2156" s="244" t="s">
        <v>43</v>
      </c>
      <c r="F2156" s="246" t="s">
        <v>42</v>
      </c>
      <c r="G2156" s="246" t="s">
        <v>41</v>
      </c>
      <c r="H2156" s="248" t="s">
        <v>40</v>
      </c>
    </row>
    <row r="2157" spans="1:8" ht="18" customHeight="1" thickBot="1" x14ac:dyDescent="0.2">
      <c r="A2157" s="234"/>
      <c r="B2157" s="237"/>
      <c r="C2157" s="240"/>
      <c r="D2157" s="243"/>
      <c r="E2157" s="245"/>
      <c r="F2157" s="247"/>
      <c r="G2157" s="247"/>
      <c r="H2157" s="249"/>
    </row>
    <row r="2158" spans="1:8" ht="21.75" customHeight="1" thickTop="1" x14ac:dyDescent="0.15">
      <c r="A2158" s="54"/>
      <c r="B2158" s="53"/>
      <c r="C2158" s="52"/>
      <c r="D2158" s="51" t="s">
        <v>39</v>
      </c>
      <c r="E2158" s="50" t="s">
        <v>39</v>
      </c>
      <c r="F2158" s="49" t="s">
        <v>39</v>
      </c>
      <c r="G2158" s="49" t="s">
        <v>39</v>
      </c>
      <c r="H2158" s="48" t="s">
        <v>39</v>
      </c>
    </row>
    <row r="2159" spans="1:8" ht="21.75" customHeight="1" x14ac:dyDescent="0.15">
      <c r="A2159" s="250" t="s">
        <v>38</v>
      </c>
      <c r="B2159" s="61" t="s">
        <v>2280</v>
      </c>
      <c r="C2159" s="62">
        <v>3808</v>
      </c>
      <c r="D2159" s="63">
        <f>QUOTIENT(665677580079818,1000000)</f>
        <v>665677580</v>
      </c>
      <c r="E2159" s="63">
        <f>QUOTIENT(250878295583729,1000000)</f>
        <v>250878295</v>
      </c>
      <c r="F2159" s="64">
        <f>QUOTIENT(204942662094775,1000000)</f>
        <v>204942662</v>
      </c>
      <c r="G2159" s="64">
        <f>QUOTIENT(206337863488015,1000000)</f>
        <v>206337863</v>
      </c>
      <c r="H2159" s="65">
        <f>QUOTIENT(3518758913297,1000000)</f>
        <v>3518758</v>
      </c>
    </row>
    <row r="2160" spans="1:8" ht="21.75" customHeight="1" x14ac:dyDescent="0.15">
      <c r="A2160" s="250"/>
      <c r="B2160" s="66" t="s">
        <v>2281</v>
      </c>
      <c r="C2160" s="67">
        <v>25</v>
      </c>
      <c r="D2160" s="68">
        <f>QUOTIENT(288480255500,1000000)</f>
        <v>288480</v>
      </c>
      <c r="E2160" s="68">
        <f>QUOTIENT(92196053000,1000000)</f>
        <v>92196</v>
      </c>
      <c r="F2160" s="69">
        <f>QUOTIENT(175802270000,1000000)</f>
        <v>175802</v>
      </c>
      <c r="G2160" s="69">
        <f>QUOTIENT(20481932500,1000000)</f>
        <v>20481</v>
      </c>
      <c r="H2160" s="70">
        <f>QUOTIENT(0,1000000)</f>
        <v>0</v>
      </c>
    </row>
    <row r="2161" spans="1:8" ht="21.75" customHeight="1" x14ac:dyDescent="0.15">
      <c r="A2161" s="250"/>
      <c r="B2161" s="66" t="s">
        <v>2282</v>
      </c>
      <c r="C2161" s="67">
        <v>96</v>
      </c>
      <c r="D2161" s="68">
        <f>QUOTIENT(0,1000000)</f>
        <v>0</v>
      </c>
      <c r="E2161" s="68">
        <f>QUOTIENT(0,1000000)</f>
        <v>0</v>
      </c>
      <c r="F2161" s="69">
        <f>QUOTIENT(0,1000000)</f>
        <v>0</v>
      </c>
      <c r="G2161" s="69">
        <f>QUOTIENT(0,1000000)</f>
        <v>0</v>
      </c>
      <c r="H2161" s="70">
        <f>QUOTIENT(0,1000000)</f>
        <v>0</v>
      </c>
    </row>
    <row r="2162" spans="1:8" ht="21.75" customHeight="1" x14ac:dyDescent="0.15">
      <c r="A2162" s="250"/>
      <c r="B2162" s="71" t="s">
        <v>2283</v>
      </c>
      <c r="C2162" s="72">
        <v>1</v>
      </c>
      <c r="D2162" s="73">
        <f>QUOTIENT(173018634600,1000000)</f>
        <v>173018</v>
      </c>
      <c r="E2162" s="73">
        <f>QUOTIENT(129793658400,1000000)</f>
        <v>129793</v>
      </c>
      <c r="F2162" s="74">
        <f>QUOTIENT(8564913700,1000000)</f>
        <v>8564</v>
      </c>
      <c r="G2162" s="74">
        <f>QUOTIENT(32922600900,1000000)</f>
        <v>32922</v>
      </c>
      <c r="H2162" s="75">
        <f>QUOTIENT(1737461600,1000000)</f>
        <v>1737</v>
      </c>
    </row>
    <row r="2163" spans="1:8" ht="21.75" customHeight="1" x14ac:dyDescent="0.15">
      <c r="A2163" s="250"/>
      <c r="B2163" s="66" t="s">
        <v>33</v>
      </c>
      <c r="C2163" s="67">
        <v>70</v>
      </c>
      <c r="D2163" s="68">
        <f>QUOTIENT(17138522012600,1000000)</f>
        <v>17138522</v>
      </c>
      <c r="E2163" s="68">
        <f>QUOTIENT(4436178236500,1000000)</f>
        <v>4436178</v>
      </c>
      <c r="F2163" s="69">
        <f>QUOTIENT(4805654245200,1000000)</f>
        <v>4805654</v>
      </c>
      <c r="G2163" s="69">
        <f>QUOTIENT(7806597855600,1000000)</f>
        <v>7806597</v>
      </c>
      <c r="H2163" s="70">
        <f>QUOTIENT(90091675300,1000000)</f>
        <v>90091</v>
      </c>
    </row>
    <row r="2164" spans="1:8" ht="21.75" customHeight="1" x14ac:dyDescent="0.15">
      <c r="A2164" s="250"/>
      <c r="B2164" s="76" t="s">
        <v>2284</v>
      </c>
      <c r="C2164" s="67">
        <v>178</v>
      </c>
      <c r="D2164" s="68">
        <f>QUOTIENT(43011239776374,1000000)</f>
        <v>43011239</v>
      </c>
      <c r="E2164" s="68">
        <f>QUOTIENT(3885042568712,1000000)</f>
        <v>3885042</v>
      </c>
      <c r="F2164" s="69">
        <f>QUOTIENT(1260120178526,1000000)</f>
        <v>1260120</v>
      </c>
      <c r="G2164" s="69">
        <f>QUOTIENT(37814845390347,1000000)</f>
        <v>37814845</v>
      </c>
      <c r="H2164" s="70">
        <f>QUOTIENT(51231638789,1000000)</f>
        <v>51231</v>
      </c>
    </row>
    <row r="2165" spans="1:8" ht="21.75" customHeight="1" x14ac:dyDescent="0.15">
      <c r="A2165" s="251"/>
      <c r="B2165" s="77" t="s">
        <v>2285</v>
      </c>
      <c r="C2165" s="72">
        <v>41</v>
      </c>
      <c r="D2165" s="73">
        <f>QUOTIENT(232939082678,1000000)</f>
        <v>232939</v>
      </c>
      <c r="E2165" s="73">
        <f>QUOTIENT(197858414614,1000000)</f>
        <v>197858</v>
      </c>
      <c r="F2165" s="74">
        <f>QUOTIENT(1403315273,1000000)</f>
        <v>1403</v>
      </c>
      <c r="G2165" s="74">
        <f>QUOTIENT(32982460780,1000000)</f>
        <v>32982</v>
      </c>
      <c r="H2165" s="75">
        <f>QUOTIENT(694892011,1000000)</f>
        <v>694</v>
      </c>
    </row>
    <row r="2166" spans="1:8" ht="21.75" customHeight="1" x14ac:dyDescent="0.15">
      <c r="A2166" s="30" t="s">
        <v>2286</v>
      </c>
      <c r="B2166" s="78" t="s">
        <v>2287</v>
      </c>
      <c r="C2166" s="79">
        <v>28</v>
      </c>
      <c r="D2166" s="80">
        <f>QUOTIENT(73045568991,1000000)</f>
        <v>73045</v>
      </c>
      <c r="E2166" s="80">
        <f>QUOTIENT(70538928860,1000000)</f>
        <v>70538</v>
      </c>
      <c r="F2166" s="81">
        <f>QUOTIENT(718019085,1000000)</f>
        <v>718</v>
      </c>
      <c r="G2166" s="81">
        <f>QUOTIENT(550045400,1000000)</f>
        <v>550</v>
      </c>
      <c r="H2166" s="82">
        <f>QUOTIENT(1238575646,1000000)</f>
        <v>1238</v>
      </c>
    </row>
    <row r="2167" spans="1:8" ht="21.75" customHeight="1" x14ac:dyDescent="0.15">
      <c r="A2167" s="252" t="s">
        <v>2288</v>
      </c>
      <c r="B2167" s="17" t="s">
        <v>2289</v>
      </c>
      <c r="C2167" s="16">
        <v>3204</v>
      </c>
      <c r="D2167" s="83">
        <f>QUOTIENT(62000277070000,1000000)</f>
        <v>62000277</v>
      </c>
      <c r="E2167" s="83">
        <f>QUOTIENT(9743538840000,1000000)</f>
        <v>9743538</v>
      </c>
      <c r="F2167" s="84">
        <f>QUOTIENT(14470058990000,1000000)</f>
        <v>14470058</v>
      </c>
      <c r="G2167" s="84">
        <f>QUOTIENT(29905127740000,1000000)</f>
        <v>29905127</v>
      </c>
      <c r="H2167" s="85">
        <f>QUOTIENT(7881551500000,1000000)</f>
        <v>7881551</v>
      </c>
    </row>
    <row r="2168" spans="1:8" ht="21.75" customHeight="1" x14ac:dyDescent="0.15">
      <c r="A2168" s="250"/>
      <c r="B2168" s="23" t="s">
        <v>2290</v>
      </c>
      <c r="C2168" s="22">
        <v>3369</v>
      </c>
      <c r="D2168" s="86">
        <f>QUOTIENT(14580278571000,1000000)</f>
        <v>14580278</v>
      </c>
      <c r="E2168" s="86">
        <f>QUOTIENT(630968130000,1000000)</f>
        <v>630968</v>
      </c>
      <c r="F2168" s="87">
        <f>QUOTIENT(5522233773000,1000000)</f>
        <v>5522233</v>
      </c>
      <c r="G2168" s="87">
        <f>QUOTIENT(6819785298000,1000000)</f>
        <v>6819785</v>
      </c>
      <c r="H2168" s="88">
        <f>QUOTIENT(1607291370000,1000000)</f>
        <v>1607291</v>
      </c>
    </row>
    <row r="2169" spans="1:8" ht="21.75" customHeight="1" x14ac:dyDescent="0.15">
      <c r="A2169" s="250"/>
      <c r="B2169" s="24" t="s">
        <v>25</v>
      </c>
      <c r="C2169" s="22">
        <v>631</v>
      </c>
      <c r="D2169" s="86">
        <f>QUOTIENT(28667770000000,1000000)</f>
        <v>28667770</v>
      </c>
      <c r="E2169" s="86">
        <f>QUOTIENT(1993894100000,1000000)</f>
        <v>1993894</v>
      </c>
      <c r="F2169" s="87">
        <f>QUOTIENT(9952564600000,1000000)</f>
        <v>9952564</v>
      </c>
      <c r="G2169" s="87">
        <f>QUOTIENT(13129099000000,1000000)</f>
        <v>13129099</v>
      </c>
      <c r="H2169" s="88">
        <f>QUOTIENT(3592212300000,1000000)</f>
        <v>3592212</v>
      </c>
    </row>
    <row r="2170" spans="1:8" ht="21.75" customHeight="1" x14ac:dyDescent="0.15">
      <c r="A2170" s="250"/>
      <c r="B2170" s="23" t="s">
        <v>24</v>
      </c>
      <c r="C2170" s="22">
        <v>1840</v>
      </c>
      <c r="D2170" s="86">
        <f>QUOTIENT(53357500000000,1000000)</f>
        <v>53357500</v>
      </c>
      <c r="E2170" s="86">
        <f>QUOTIENT(5452705300000,1000000)</f>
        <v>5452705</v>
      </c>
      <c r="F2170" s="87">
        <f>QUOTIENT(11680600400000,1000000)</f>
        <v>11680600</v>
      </c>
      <c r="G2170" s="87">
        <f>QUOTIENT(31954015300000,1000000)</f>
        <v>31954015</v>
      </c>
      <c r="H2170" s="88">
        <f>QUOTIENT(4270179000000,1000000)</f>
        <v>4270179</v>
      </c>
    </row>
    <row r="2171" spans="1:8" ht="21.75" customHeight="1" x14ac:dyDescent="0.15">
      <c r="A2171" s="250"/>
      <c r="B2171" s="23" t="s">
        <v>2291</v>
      </c>
      <c r="C2171" s="22">
        <v>400</v>
      </c>
      <c r="D2171" s="86">
        <f>QUOTIENT(4820135000000,1000000)</f>
        <v>4820135</v>
      </c>
      <c r="E2171" s="86">
        <f>QUOTIENT(356197800000,1000000)</f>
        <v>356197</v>
      </c>
      <c r="F2171" s="87">
        <f>QUOTIENT(74372400000,1000000)</f>
        <v>74372</v>
      </c>
      <c r="G2171" s="87">
        <f>QUOTIENT(4351263800000,1000000)</f>
        <v>4351263</v>
      </c>
      <c r="H2171" s="88">
        <f>QUOTIENT(38301000000,1000000)</f>
        <v>38301</v>
      </c>
    </row>
    <row r="2172" spans="1:8" ht="21.75" customHeight="1" x14ac:dyDescent="0.15">
      <c r="A2172" s="250"/>
      <c r="B2172" s="23" t="s">
        <v>2292</v>
      </c>
      <c r="C2172" s="22">
        <v>136</v>
      </c>
      <c r="D2172" s="86">
        <f>QUOTIENT(1178300000000,1000000)</f>
        <v>1178300</v>
      </c>
      <c r="E2172" s="86">
        <f>QUOTIENT(283470000000,1000000)</f>
        <v>283470</v>
      </c>
      <c r="F2172" s="87">
        <f>QUOTIENT(100000000000,1000000)</f>
        <v>100000</v>
      </c>
      <c r="G2172" s="87">
        <f>QUOTIENT(508630000000,1000000)</f>
        <v>508630</v>
      </c>
      <c r="H2172" s="88">
        <f>QUOTIENT(286200000000,1000000)</f>
        <v>286200</v>
      </c>
    </row>
    <row r="2173" spans="1:8" ht="21.75" customHeight="1" x14ac:dyDescent="0.15">
      <c r="A2173" s="250"/>
      <c r="B2173" s="23" t="s">
        <v>2293</v>
      </c>
      <c r="C2173" s="22">
        <v>26</v>
      </c>
      <c r="D2173" s="86">
        <f>QUOTIENT(189221000000,1000000)</f>
        <v>189221</v>
      </c>
      <c r="E2173" s="86">
        <f>QUOTIENT(116614000000,1000000)</f>
        <v>116614</v>
      </c>
      <c r="F2173" s="87">
        <f>QUOTIENT(12097000000,1000000)</f>
        <v>12097</v>
      </c>
      <c r="G2173" s="87">
        <f>QUOTIENT(26359000000,1000000)</f>
        <v>26359</v>
      </c>
      <c r="H2173" s="88">
        <f>QUOTIENT(34151000000,1000000)</f>
        <v>34151</v>
      </c>
    </row>
    <row r="2174" spans="1:8" ht="21.75" customHeight="1" x14ac:dyDescent="0.15">
      <c r="A2174" s="250"/>
      <c r="B2174" s="23" t="s">
        <v>2294</v>
      </c>
      <c r="C2174" s="22">
        <v>0</v>
      </c>
      <c r="D2174" s="86">
        <f>QUOTIENT(0,1000000)</f>
        <v>0</v>
      </c>
      <c r="E2174" s="86">
        <f>QUOTIENT(0,1000000)</f>
        <v>0</v>
      </c>
      <c r="F2174" s="87">
        <f>QUOTIENT(0,1000000)</f>
        <v>0</v>
      </c>
      <c r="G2174" s="87">
        <f>QUOTIENT(0,1000000)</f>
        <v>0</v>
      </c>
      <c r="H2174" s="88">
        <f>QUOTIENT(0,1000000)</f>
        <v>0</v>
      </c>
    </row>
    <row r="2175" spans="1:8" ht="21.75" customHeight="1" x14ac:dyDescent="0.15">
      <c r="A2175" s="250"/>
      <c r="B2175" s="23" t="s">
        <v>2295</v>
      </c>
      <c r="C2175" s="22">
        <v>236</v>
      </c>
      <c r="D2175" s="86">
        <f>QUOTIENT(7163340000000,1000000)</f>
        <v>7163340</v>
      </c>
      <c r="E2175" s="86">
        <f>QUOTIENT(627550000000,1000000)</f>
        <v>627550</v>
      </c>
      <c r="F2175" s="87">
        <f>QUOTIENT(2796110000000,1000000)</f>
        <v>2796110</v>
      </c>
      <c r="G2175" s="87">
        <f>QUOTIENT(2868610000000,1000000)</f>
        <v>2868610</v>
      </c>
      <c r="H2175" s="88">
        <f>QUOTIENT(871070000000,1000000)</f>
        <v>871070</v>
      </c>
    </row>
    <row r="2176" spans="1:8" ht="21.75" customHeight="1" x14ac:dyDescent="0.15">
      <c r="A2176" s="250"/>
      <c r="B2176" s="23" t="s">
        <v>2296</v>
      </c>
      <c r="C2176" s="22">
        <v>3546</v>
      </c>
      <c r="D2176" s="86">
        <f>QUOTIENT(69754192000000,1000000)</f>
        <v>69754192</v>
      </c>
      <c r="E2176" s="86">
        <f>QUOTIENT(16727378000000,1000000)</f>
        <v>16727378</v>
      </c>
      <c r="F2176" s="87">
        <f>QUOTIENT(11072237600000,1000000)</f>
        <v>11072237</v>
      </c>
      <c r="G2176" s="87">
        <f>QUOTIENT(33211484400000,1000000)</f>
        <v>33211484</v>
      </c>
      <c r="H2176" s="88">
        <f>QUOTIENT(8743092000000,1000000)</f>
        <v>8743092</v>
      </c>
    </row>
    <row r="2177" spans="1:8" ht="21.75" customHeight="1" x14ac:dyDescent="0.15">
      <c r="A2177" s="250"/>
      <c r="B2177" s="23" t="s">
        <v>17</v>
      </c>
      <c r="C2177" s="22">
        <v>655</v>
      </c>
      <c r="D2177" s="86">
        <f>QUOTIENT(15543060000000,1000000)</f>
        <v>15543060</v>
      </c>
      <c r="E2177" s="86">
        <f>QUOTIENT(3244198500000,1000000)</f>
        <v>3244198</v>
      </c>
      <c r="F2177" s="87">
        <f>QUOTIENT(2933073600000,1000000)</f>
        <v>2933073</v>
      </c>
      <c r="G2177" s="87">
        <f>QUOTIENT(7741967100000,1000000)</f>
        <v>7741967</v>
      </c>
      <c r="H2177" s="88">
        <f>QUOTIENT(1623820800000,1000000)</f>
        <v>1623820</v>
      </c>
    </row>
    <row r="2178" spans="1:8" ht="21.75" customHeight="1" x14ac:dyDescent="0.15">
      <c r="A2178" s="250"/>
      <c r="B2178" s="23" t="s">
        <v>16</v>
      </c>
      <c r="C2178" s="22">
        <v>58571</v>
      </c>
      <c r="D2178" s="86">
        <f>QUOTIENT(13316847806000,1000000)</f>
        <v>13316847</v>
      </c>
      <c r="E2178" s="86">
        <f>QUOTIENT(1061440700000,1000000)</f>
        <v>1061440</v>
      </c>
      <c r="F2178" s="87">
        <f>QUOTIENT(5198805068000,1000000)</f>
        <v>5198805</v>
      </c>
      <c r="G2178" s="87">
        <f>QUOTIENT(6648697038000,1000000)</f>
        <v>6648697</v>
      </c>
      <c r="H2178" s="88">
        <f>QUOTIENT(407905000000,1000000)</f>
        <v>407905</v>
      </c>
    </row>
    <row r="2179" spans="1:8" ht="21.75" customHeight="1" x14ac:dyDescent="0.15">
      <c r="A2179" s="250"/>
      <c r="B2179" s="23" t="s">
        <v>2297</v>
      </c>
      <c r="C2179" s="22">
        <v>291</v>
      </c>
      <c r="D2179" s="86">
        <f>QUOTIENT(878723676000,1000000)</f>
        <v>878723</v>
      </c>
      <c r="E2179" s="86">
        <f>QUOTIENT(52721100000,1000000)</f>
        <v>52721</v>
      </c>
      <c r="F2179" s="87">
        <f>QUOTIENT(583836068000,1000000)</f>
        <v>583836</v>
      </c>
      <c r="G2179" s="87">
        <f>QUOTIENT(227166508000,1000000)</f>
        <v>227166</v>
      </c>
      <c r="H2179" s="88">
        <f>QUOTIENT(15000000000,1000000)</f>
        <v>15000</v>
      </c>
    </row>
    <row r="2180" spans="1:8" ht="21.75" customHeight="1" x14ac:dyDescent="0.15">
      <c r="A2180" s="250"/>
      <c r="B2180" s="23" t="s">
        <v>2298</v>
      </c>
      <c r="C2180" s="22">
        <v>44</v>
      </c>
      <c r="D2180" s="86">
        <f>QUOTIENT(222900000000,1000000)</f>
        <v>222900</v>
      </c>
      <c r="E2180" s="86">
        <f>QUOTIENT(102312000000,1000000)</f>
        <v>102312</v>
      </c>
      <c r="F2180" s="87">
        <f>QUOTIENT(12600000000,1000000)</f>
        <v>12600</v>
      </c>
      <c r="G2180" s="87">
        <f>QUOTIENT(77886000000,1000000)</f>
        <v>77886</v>
      </c>
      <c r="H2180" s="88">
        <f>QUOTIENT(30102000000,1000000)</f>
        <v>30102</v>
      </c>
    </row>
    <row r="2181" spans="1:8" ht="21.75" customHeight="1" x14ac:dyDescent="0.15">
      <c r="A2181" s="250"/>
      <c r="B2181" s="23" t="s">
        <v>2299</v>
      </c>
      <c r="C2181" s="22">
        <v>536</v>
      </c>
      <c r="D2181" s="86">
        <f>QUOTIENT(2660898177000,1000000)</f>
        <v>2660898</v>
      </c>
      <c r="E2181" s="86">
        <f>QUOTIENT(195061230000,1000000)</f>
        <v>195061</v>
      </c>
      <c r="F2181" s="87">
        <f>QUOTIENT(1330545447000,1000000)</f>
        <v>1330545</v>
      </c>
      <c r="G2181" s="87">
        <f>QUOTIENT(1064596500000,1000000)</f>
        <v>1064596</v>
      </c>
      <c r="H2181" s="88">
        <f>QUOTIENT(70695000000,1000000)</f>
        <v>70695</v>
      </c>
    </row>
    <row r="2182" spans="1:8" ht="21.75" customHeight="1" x14ac:dyDescent="0.15">
      <c r="A2182" s="250"/>
      <c r="B2182" s="23" t="s">
        <v>12</v>
      </c>
      <c r="C2182" s="22">
        <v>290</v>
      </c>
      <c r="D2182" s="86">
        <f>QUOTIENT(8355100000000,1000000)</f>
        <v>8355100</v>
      </c>
      <c r="E2182" s="86">
        <f>QUOTIENT(908585000000,1000000)</f>
        <v>908585</v>
      </c>
      <c r="F2182" s="87">
        <f>QUOTIENT(1778305000000,1000000)</f>
        <v>1778305</v>
      </c>
      <c r="G2182" s="87">
        <f>QUOTIENT(4865680000000,1000000)</f>
        <v>4865680</v>
      </c>
      <c r="H2182" s="88">
        <f>QUOTIENT(802530000000,1000000)</f>
        <v>802530</v>
      </c>
    </row>
    <row r="2183" spans="1:8" ht="21.75" customHeight="1" x14ac:dyDescent="0.15">
      <c r="A2183" s="250"/>
      <c r="B2183" s="23" t="s">
        <v>2300</v>
      </c>
      <c r="C2183" s="22">
        <v>73</v>
      </c>
      <c r="D2183" s="86">
        <f>QUOTIENT(2105450000000,1000000)</f>
        <v>2105450</v>
      </c>
      <c r="E2183" s="86">
        <f>QUOTIENT(184300000000,1000000)</f>
        <v>184300</v>
      </c>
      <c r="F2183" s="87">
        <f>QUOTIENT(725050000000,1000000)</f>
        <v>725050</v>
      </c>
      <c r="G2183" s="87">
        <f>QUOTIENT(964600000000,1000000)</f>
        <v>964600</v>
      </c>
      <c r="H2183" s="88">
        <f>QUOTIENT(231500000000,1000000)</f>
        <v>231500</v>
      </c>
    </row>
    <row r="2184" spans="1:8" ht="21.75" customHeight="1" x14ac:dyDescent="0.15">
      <c r="A2184" s="250"/>
      <c r="B2184" s="23" t="s">
        <v>2301</v>
      </c>
      <c r="C2184" s="22">
        <v>0</v>
      </c>
      <c r="D2184" s="86">
        <f t="shared" ref="D2184:H2186" si="54">QUOTIENT(0,1000000)</f>
        <v>0</v>
      </c>
      <c r="E2184" s="86">
        <f t="shared" si="54"/>
        <v>0</v>
      </c>
      <c r="F2184" s="87">
        <f t="shared" si="54"/>
        <v>0</v>
      </c>
      <c r="G2184" s="87">
        <f t="shared" si="54"/>
        <v>0</v>
      </c>
      <c r="H2184" s="88">
        <f t="shared" si="54"/>
        <v>0</v>
      </c>
    </row>
    <row r="2185" spans="1:8" ht="21.75" customHeight="1" x14ac:dyDescent="0.15">
      <c r="A2185" s="250"/>
      <c r="B2185" s="23" t="s">
        <v>2302</v>
      </c>
      <c r="C2185" s="22">
        <v>0</v>
      </c>
      <c r="D2185" s="86">
        <f t="shared" si="54"/>
        <v>0</v>
      </c>
      <c r="E2185" s="86">
        <f t="shared" si="54"/>
        <v>0</v>
      </c>
      <c r="F2185" s="87">
        <f t="shared" si="54"/>
        <v>0</v>
      </c>
      <c r="G2185" s="87">
        <f t="shared" si="54"/>
        <v>0</v>
      </c>
      <c r="H2185" s="88">
        <f t="shared" si="54"/>
        <v>0</v>
      </c>
    </row>
    <row r="2186" spans="1:8" ht="21.75" customHeight="1" x14ac:dyDescent="0.15">
      <c r="A2186" s="250"/>
      <c r="B2186" s="23" t="s">
        <v>2303</v>
      </c>
      <c r="C2186" s="22">
        <v>0</v>
      </c>
      <c r="D2186" s="86">
        <f t="shared" si="54"/>
        <v>0</v>
      </c>
      <c r="E2186" s="86">
        <f t="shared" si="54"/>
        <v>0</v>
      </c>
      <c r="F2186" s="87">
        <f t="shared" si="54"/>
        <v>0</v>
      </c>
      <c r="G2186" s="87">
        <f t="shared" si="54"/>
        <v>0</v>
      </c>
      <c r="H2186" s="88">
        <f t="shared" si="54"/>
        <v>0</v>
      </c>
    </row>
    <row r="2187" spans="1:8" ht="21.75" customHeight="1" x14ac:dyDescent="0.15">
      <c r="A2187" s="251"/>
      <c r="B2187" s="23" t="s">
        <v>2304</v>
      </c>
      <c r="C2187" s="22">
        <v>25</v>
      </c>
      <c r="D2187" s="86">
        <f>QUOTIENT(16341900000,1000000)</f>
        <v>16341</v>
      </c>
      <c r="E2187" s="86">
        <f>QUOTIENT(466900000,1000000)</f>
        <v>466</v>
      </c>
      <c r="F2187" s="87">
        <f>QUOTIENT(14000000000,1000000)</f>
        <v>14000</v>
      </c>
      <c r="G2187" s="87">
        <f>QUOTIENT(1875000000,1000000)</f>
        <v>1875</v>
      </c>
      <c r="H2187" s="88">
        <f>QUOTIENT(0,1000000)</f>
        <v>0</v>
      </c>
    </row>
    <row r="2188" spans="1:8" ht="21.75" customHeight="1" x14ac:dyDescent="0.15">
      <c r="A2188" s="18" t="s">
        <v>2305</v>
      </c>
      <c r="B2188" s="17" t="s">
        <v>2306</v>
      </c>
      <c r="C2188" s="16">
        <v>3448</v>
      </c>
      <c r="D2188" s="80">
        <v>22323446</v>
      </c>
      <c r="E2188" s="80">
        <v>753700</v>
      </c>
      <c r="F2188" s="81">
        <v>10456465</v>
      </c>
      <c r="G2188" s="81">
        <v>8316049</v>
      </c>
      <c r="H2188" s="82">
        <v>2797232</v>
      </c>
    </row>
    <row r="2189" spans="1:8" ht="21.75" customHeight="1" x14ac:dyDescent="0.15">
      <c r="A2189" s="252" t="s">
        <v>2307</v>
      </c>
      <c r="B2189" s="12" t="s">
        <v>2308</v>
      </c>
      <c r="C2189" s="11">
        <v>5845</v>
      </c>
      <c r="D2189" s="89">
        <v>79880473</v>
      </c>
      <c r="E2189" s="89">
        <v>48275357</v>
      </c>
      <c r="F2189" s="90">
        <v>13387894</v>
      </c>
      <c r="G2189" s="90">
        <v>11077003</v>
      </c>
      <c r="H2189" s="91">
        <v>7140218</v>
      </c>
    </row>
    <row r="2190" spans="1:8" ht="21.75" customHeight="1" thickBot="1" x14ac:dyDescent="0.2">
      <c r="A2190" s="253"/>
      <c r="B2190" s="7" t="s">
        <v>2309</v>
      </c>
      <c r="C2190" s="6">
        <v>6873</v>
      </c>
      <c r="D2190" s="92" t="s">
        <v>2310</v>
      </c>
      <c r="E2190" s="92" t="s">
        <v>2310</v>
      </c>
      <c r="F2190" s="92" t="s">
        <v>2311</v>
      </c>
      <c r="G2190" s="92" t="s">
        <v>2310</v>
      </c>
      <c r="H2190" s="93" t="s">
        <v>2311</v>
      </c>
    </row>
    <row r="2191" spans="1:8" ht="18" customHeight="1" x14ac:dyDescent="0.15">
      <c r="A2191" s="3" t="s">
        <v>2312</v>
      </c>
      <c r="B2191" s="2"/>
      <c r="C2191" s="2"/>
      <c r="D2191" s="2"/>
      <c r="E2191" s="2"/>
      <c r="F2191" s="2"/>
      <c r="G2191" s="2"/>
      <c r="H2191" s="2"/>
    </row>
    <row r="2192" spans="1:8" ht="18" customHeight="1" x14ac:dyDescent="0.15">
      <c r="A2192" s="3" t="s">
        <v>2587</v>
      </c>
      <c r="B2192" s="2"/>
      <c r="C2192" s="2"/>
      <c r="D2192" s="2"/>
      <c r="E2192" s="2"/>
      <c r="F2192" s="2"/>
      <c r="G2192" s="2"/>
      <c r="H2192" s="2"/>
    </row>
    <row r="2193" spans="1:8" ht="18" customHeight="1" x14ac:dyDescent="0.15">
      <c r="A2193" s="3" t="s">
        <v>2313</v>
      </c>
      <c r="B2193" s="2"/>
      <c r="C2193" s="2"/>
      <c r="D2193" s="2"/>
      <c r="E2193" s="2"/>
      <c r="F2193" s="2"/>
      <c r="G2193" s="2"/>
      <c r="H2193" s="2"/>
    </row>
    <row r="2194" spans="1:8" ht="18" customHeight="1" x14ac:dyDescent="0.15">
      <c r="A2194" s="3" t="s">
        <v>2314</v>
      </c>
      <c r="B2194" s="2"/>
      <c r="C2194" s="2"/>
      <c r="D2194" s="2"/>
      <c r="E2194" s="2"/>
      <c r="F2194" s="2"/>
      <c r="G2194" s="2"/>
      <c r="H2194" s="2"/>
    </row>
    <row r="2195" spans="1:8" ht="24" customHeight="1" x14ac:dyDescent="0.15">
      <c r="A2195" s="230" t="s">
        <v>2226</v>
      </c>
      <c r="B2195" s="230"/>
      <c r="C2195" s="230"/>
      <c r="D2195" s="230"/>
      <c r="E2195" s="230"/>
      <c r="F2195" s="230"/>
      <c r="G2195" s="230"/>
      <c r="H2195" s="230"/>
    </row>
    <row r="2196" spans="1:8" ht="18" customHeight="1" x14ac:dyDescent="0.15">
      <c r="A2196" s="231"/>
      <c r="B2196" s="231"/>
      <c r="C2196" s="231"/>
      <c r="D2196" s="231"/>
      <c r="E2196" s="231"/>
      <c r="F2196" s="231"/>
      <c r="G2196" s="231"/>
      <c r="H2196" s="231"/>
    </row>
    <row r="2197" spans="1:8" ht="18" customHeight="1" thickBot="1" x14ac:dyDescent="0.2">
      <c r="A2197" s="58" t="s">
        <v>2227</v>
      </c>
    </row>
    <row r="2198" spans="1:8" ht="18" customHeight="1" x14ac:dyDescent="0.15">
      <c r="A2198" s="232" t="s">
        <v>2228</v>
      </c>
      <c r="B2198" s="235" t="s">
        <v>2229</v>
      </c>
      <c r="C2198" s="238" t="s">
        <v>2230</v>
      </c>
      <c r="D2198" s="241" t="s">
        <v>2231</v>
      </c>
      <c r="E2198" s="57"/>
      <c r="F2198" s="56"/>
      <c r="G2198" s="56"/>
      <c r="H2198" s="55"/>
    </row>
    <row r="2199" spans="1:8" ht="18" customHeight="1" x14ac:dyDescent="0.15">
      <c r="A2199" s="233"/>
      <c r="B2199" s="236"/>
      <c r="C2199" s="239"/>
      <c r="D2199" s="242"/>
      <c r="E2199" s="244" t="s">
        <v>2232</v>
      </c>
      <c r="F2199" s="246" t="s">
        <v>2233</v>
      </c>
      <c r="G2199" s="246" t="s">
        <v>2234</v>
      </c>
      <c r="H2199" s="248" t="s">
        <v>2235</v>
      </c>
    </row>
    <row r="2200" spans="1:8" ht="18" customHeight="1" thickBot="1" x14ac:dyDescent="0.2">
      <c r="A2200" s="234"/>
      <c r="B2200" s="237"/>
      <c r="C2200" s="240"/>
      <c r="D2200" s="243"/>
      <c r="E2200" s="245"/>
      <c r="F2200" s="247"/>
      <c r="G2200" s="247"/>
      <c r="H2200" s="249"/>
    </row>
    <row r="2201" spans="1:8" ht="21.75" customHeight="1" thickTop="1" x14ac:dyDescent="0.15">
      <c r="A2201" s="54"/>
      <c r="B2201" s="53"/>
      <c r="C2201" s="52"/>
      <c r="D2201" s="51" t="s">
        <v>2236</v>
      </c>
      <c r="E2201" s="50" t="s">
        <v>2236</v>
      </c>
      <c r="F2201" s="49" t="s">
        <v>2236</v>
      </c>
      <c r="G2201" s="49" t="s">
        <v>2236</v>
      </c>
      <c r="H2201" s="48" t="s">
        <v>2236</v>
      </c>
    </row>
    <row r="2202" spans="1:8" ht="21.75" customHeight="1" x14ac:dyDescent="0.15">
      <c r="A2202" s="250" t="s">
        <v>2237</v>
      </c>
      <c r="B2202" s="61" t="s">
        <v>2238</v>
      </c>
      <c r="C2202" s="62">
        <v>3812</v>
      </c>
      <c r="D2202" s="63">
        <f>QUOTIENT(675175027300146,1000000)</f>
        <v>675175027</v>
      </c>
      <c r="E2202" s="63">
        <f>QUOTIENT(255559958080467,1000000)</f>
        <v>255559958</v>
      </c>
      <c r="F2202" s="64">
        <f>QUOTIENT(207533596463025,1000000)</f>
        <v>207533596</v>
      </c>
      <c r="G2202" s="64">
        <f>QUOTIENT(208449462127450,1000000)</f>
        <v>208449462</v>
      </c>
      <c r="H2202" s="65">
        <f>QUOTIENT(3632010629202,1000000)</f>
        <v>3632010</v>
      </c>
    </row>
    <row r="2203" spans="1:8" ht="21.75" customHeight="1" x14ac:dyDescent="0.15">
      <c r="A2203" s="250"/>
      <c r="B2203" s="66" t="s">
        <v>36</v>
      </c>
      <c r="C2203" s="67">
        <v>24</v>
      </c>
      <c r="D2203" s="68">
        <f>QUOTIENT(284466337000,1000000)</f>
        <v>284466</v>
      </c>
      <c r="E2203" s="68">
        <f>QUOTIENT(84479124000,1000000)</f>
        <v>84479</v>
      </c>
      <c r="F2203" s="69">
        <f>QUOTIENT(179110120000,1000000)</f>
        <v>179110</v>
      </c>
      <c r="G2203" s="69">
        <f>QUOTIENT(20877093000,1000000)</f>
        <v>20877</v>
      </c>
      <c r="H2203" s="70">
        <f>QUOTIENT(0,1000000)</f>
        <v>0</v>
      </c>
    </row>
    <row r="2204" spans="1:8" ht="21.75" customHeight="1" x14ac:dyDescent="0.15">
      <c r="A2204" s="250"/>
      <c r="B2204" s="66" t="s">
        <v>2239</v>
      </c>
      <c r="C2204" s="67">
        <v>93</v>
      </c>
      <c r="D2204" s="68">
        <f>QUOTIENT(0,1000000)</f>
        <v>0</v>
      </c>
      <c r="E2204" s="68">
        <f>QUOTIENT(0,1000000)</f>
        <v>0</v>
      </c>
      <c r="F2204" s="69">
        <f>QUOTIENT(0,1000000)</f>
        <v>0</v>
      </c>
      <c r="G2204" s="69">
        <f>QUOTIENT(0,1000000)</f>
        <v>0</v>
      </c>
      <c r="H2204" s="70">
        <f>QUOTIENT(0,1000000)</f>
        <v>0</v>
      </c>
    </row>
    <row r="2205" spans="1:8" ht="21.75" customHeight="1" x14ac:dyDescent="0.15">
      <c r="A2205" s="250"/>
      <c r="B2205" s="71" t="s">
        <v>2240</v>
      </c>
      <c r="C2205" s="72">
        <v>1</v>
      </c>
      <c r="D2205" s="73">
        <f>QUOTIENT(172876990200,1000000)</f>
        <v>172876</v>
      </c>
      <c r="E2205" s="73">
        <f>QUOTIENT(131026533400,1000000)</f>
        <v>131026</v>
      </c>
      <c r="F2205" s="74">
        <f>QUOTIENT(8538618000,1000000)</f>
        <v>8538</v>
      </c>
      <c r="G2205" s="74">
        <f>QUOTIENT(31574823200,1000000)</f>
        <v>31574</v>
      </c>
      <c r="H2205" s="75">
        <f>QUOTIENT(1737015600,1000000)</f>
        <v>1737</v>
      </c>
    </row>
    <row r="2206" spans="1:8" ht="21.75" customHeight="1" x14ac:dyDescent="0.15">
      <c r="A2206" s="250"/>
      <c r="B2206" s="66" t="s">
        <v>2241</v>
      </c>
      <c r="C2206" s="67">
        <v>70</v>
      </c>
      <c r="D2206" s="68">
        <f>QUOTIENT(16526480260780,1000000)</f>
        <v>16526480</v>
      </c>
      <c r="E2206" s="68">
        <f>QUOTIENT(4216567406000,1000000)</f>
        <v>4216567</v>
      </c>
      <c r="F2206" s="69">
        <f>QUOTIENT(4710264163240,1000000)</f>
        <v>4710264</v>
      </c>
      <c r="G2206" s="69">
        <f>QUOTIENT(7510247567100,1000000)</f>
        <v>7510247</v>
      </c>
      <c r="H2206" s="70">
        <f>QUOTIENT(89401124440,1000000)</f>
        <v>89401</v>
      </c>
    </row>
    <row r="2207" spans="1:8" ht="21.75" customHeight="1" x14ac:dyDescent="0.15">
      <c r="A2207" s="250"/>
      <c r="B2207" s="76" t="s">
        <v>2242</v>
      </c>
      <c r="C2207" s="67">
        <v>196</v>
      </c>
      <c r="D2207" s="68">
        <f>QUOTIENT(43411982142728,1000000)</f>
        <v>43411982</v>
      </c>
      <c r="E2207" s="68">
        <f>QUOTIENT(3737091050292,1000000)</f>
        <v>3737091</v>
      </c>
      <c r="F2207" s="69">
        <f>QUOTIENT(1366920053023,1000000)</f>
        <v>1366920</v>
      </c>
      <c r="G2207" s="69">
        <f>QUOTIENT(38267370992933,1000000)</f>
        <v>38267370</v>
      </c>
      <c r="H2207" s="70">
        <f>QUOTIENT(40600046480,1000000)</f>
        <v>40600</v>
      </c>
    </row>
    <row r="2208" spans="1:8" ht="21.75" customHeight="1" x14ac:dyDescent="0.15">
      <c r="A2208" s="251"/>
      <c r="B2208" s="77" t="s">
        <v>2243</v>
      </c>
      <c r="C2208" s="72">
        <v>41</v>
      </c>
      <c r="D2208" s="73">
        <f>QUOTIENT(239909971289,1000000)</f>
        <v>239909</v>
      </c>
      <c r="E2208" s="73">
        <f>QUOTIENT(206568734769,1000000)</f>
        <v>206568</v>
      </c>
      <c r="F2208" s="74">
        <f>QUOTIENT(1751681177,1000000)</f>
        <v>1751</v>
      </c>
      <c r="G2208" s="74">
        <f>QUOTIENT(31304520620,1000000)</f>
        <v>31304</v>
      </c>
      <c r="H2208" s="75">
        <f>QUOTIENT(285034723,1000000)</f>
        <v>285</v>
      </c>
    </row>
    <row r="2209" spans="1:8" ht="21.75" customHeight="1" x14ac:dyDescent="0.15">
      <c r="A2209" s="30" t="s">
        <v>2244</v>
      </c>
      <c r="B2209" s="78" t="s">
        <v>2245</v>
      </c>
      <c r="C2209" s="79">
        <v>28</v>
      </c>
      <c r="D2209" s="80">
        <f>QUOTIENT(72817322715,1000000)</f>
        <v>72817</v>
      </c>
      <c r="E2209" s="80">
        <f>QUOTIENT(70502953569,1000000)</f>
        <v>70502</v>
      </c>
      <c r="F2209" s="81">
        <f>QUOTIENT(857721816,1000000)</f>
        <v>857</v>
      </c>
      <c r="G2209" s="81">
        <f>QUOTIENT(503583800,1000000)</f>
        <v>503</v>
      </c>
      <c r="H2209" s="82">
        <f>QUOTIENT(953063530,1000000)</f>
        <v>953</v>
      </c>
    </row>
    <row r="2210" spans="1:8" ht="21.75" customHeight="1" x14ac:dyDescent="0.15">
      <c r="A2210" s="252" t="s">
        <v>2246</v>
      </c>
      <c r="B2210" s="17" t="s">
        <v>2247</v>
      </c>
      <c r="C2210" s="16">
        <v>3200</v>
      </c>
      <c r="D2210" s="83">
        <f>QUOTIENT(61969477070000,1000000)</f>
        <v>61969477</v>
      </c>
      <c r="E2210" s="83">
        <f>QUOTIENT(9638517900000,1000000)</f>
        <v>9638517</v>
      </c>
      <c r="F2210" s="84">
        <f>QUOTIENT(14293871090000,1000000)</f>
        <v>14293871</v>
      </c>
      <c r="G2210" s="84">
        <f>QUOTIENT(30166565110000,1000000)</f>
        <v>30166565</v>
      </c>
      <c r="H2210" s="85">
        <f>QUOTIENT(7870522970000,1000000)</f>
        <v>7870522</v>
      </c>
    </row>
    <row r="2211" spans="1:8" ht="21.75" customHeight="1" x14ac:dyDescent="0.15">
      <c r="A2211" s="250"/>
      <c r="B2211" s="23" t="s">
        <v>2248</v>
      </c>
      <c r="C2211" s="22">
        <v>3353</v>
      </c>
      <c r="D2211" s="86">
        <f>QUOTIENT(14517408571000,1000000)</f>
        <v>14517408</v>
      </c>
      <c r="E2211" s="86">
        <f>QUOTIENT(624502130000,1000000)</f>
        <v>624502</v>
      </c>
      <c r="F2211" s="87">
        <f>QUOTIENT(5519752553000,1000000)</f>
        <v>5519752</v>
      </c>
      <c r="G2211" s="87">
        <f>QUOTIENT(6766763518000,1000000)</f>
        <v>6766763</v>
      </c>
      <c r="H2211" s="88">
        <f>QUOTIENT(1606390370000,1000000)</f>
        <v>1606390</v>
      </c>
    </row>
    <row r="2212" spans="1:8" ht="21.75" customHeight="1" x14ac:dyDescent="0.15">
      <c r="A2212" s="250"/>
      <c r="B2212" s="24" t="s">
        <v>25</v>
      </c>
      <c r="C2212" s="22">
        <v>630</v>
      </c>
      <c r="D2212" s="86">
        <f>QUOTIENT(28739970000000,1000000)</f>
        <v>28739970</v>
      </c>
      <c r="E2212" s="86">
        <f>QUOTIENT(2024960900000,1000000)</f>
        <v>2024960</v>
      </c>
      <c r="F2212" s="87">
        <f>QUOTIENT(9929681000000,1000000)</f>
        <v>9929681</v>
      </c>
      <c r="G2212" s="87">
        <f>QUOTIENT(13203639800000,1000000)</f>
        <v>13203639</v>
      </c>
      <c r="H2212" s="88">
        <f>QUOTIENT(3581688300000,1000000)</f>
        <v>3581688</v>
      </c>
    </row>
    <row r="2213" spans="1:8" ht="21.75" customHeight="1" x14ac:dyDescent="0.15">
      <c r="A2213" s="250"/>
      <c r="B2213" s="23" t="s">
        <v>2249</v>
      </c>
      <c r="C2213" s="22">
        <v>1830</v>
      </c>
      <c r="D2213" s="86">
        <f>QUOTIENT(53060400000000,1000000)</f>
        <v>53060400</v>
      </c>
      <c r="E2213" s="86">
        <f>QUOTIENT(5488696300000,1000000)</f>
        <v>5488696</v>
      </c>
      <c r="F2213" s="87">
        <f>QUOTIENT(11607169400000,1000000)</f>
        <v>11607169</v>
      </c>
      <c r="G2213" s="87">
        <f>QUOTIENT(31686035300000,1000000)</f>
        <v>31686035</v>
      </c>
      <c r="H2213" s="88">
        <f>QUOTIENT(4278499000000,1000000)</f>
        <v>4278499</v>
      </c>
    </row>
    <row r="2214" spans="1:8" ht="21.75" customHeight="1" x14ac:dyDescent="0.15">
      <c r="A2214" s="250"/>
      <c r="B2214" s="23" t="s">
        <v>2250</v>
      </c>
      <c r="C2214" s="22">
        <v>398</v>
      </c>
      <c r="D2214" s="86">
        <f>QUOTIENT(4821635000000,1000000)</f>
        <v>4821635</v>
      </c>
      <c r="E2214" s="86">
        <f>QUOTIENT(355743900000,1000000)</f>
        <v>355743</v>
      </c>
      <c r="F2214" s="87">
        <f>QUOTIENT(73502400000,1000000)</f>
        <v>73502</v>
      </c>
      <c r="G2214" s="87">
        <f>QUOTIENT(4355887700000,1000000)</f>
        <v>4355887</v>
      </c>
      <c r="H2214" s="88">
        <f>QUOTIENT(36501000000,1000000)</f>
        <v>36501</v>
      </c>
    </row>
    <row r="2215" spans="1:8" ht="21.75" customHeight="1" x14ac:dyDescent="0.15">
      <c r="A2215" s="250"/>
      <c r="B2215" s="23" t="s">
        <v>2251</v>
      </c>
      <c r="C2215" s="22">
        <v>136</v>
      </c>
      <c r="D2215" s="86">
        <f>QUOTIENT(1178300000000,1000000)</f>
        <v>1178300</v>
      </c>
      <c r="E2215" s="86">
        <f>QUOTIENT(283070000000,1000000)</f>
        <v>283070</v>
      </c>
      <c r="F2215" s="87">
        <f>QUOTIENT(97200000000,1000000)</f>
        <v>97200</v>
      </c>
      <c r="G2215" s="87">
        <f>QUOTIENT(511830000000,1000000)</f>
        <v>511830</v>
      </c>
      <c r="H2215" s="88">
        <f>QUOTIENT(286200000000,1000000)</f>
        <v>286200</v>
      </c>
    </row>
    <row r="2216" spans="1:8" ht="21.75" customHeight="1" x14ac:dyDescent="0.15">
      <c r="A2216" s="250"/>
      <c r="B2216" s="23" t="s">
        <v>2252</v>
      </c>
      <c r="C2216" s="22">
        <v>26</v>
      </c>
      <c r="D2216" s="86">
        <f>QUOTIENT(189221000000,1000000)</f>
        <v>189221</v>
      </c>
      <c r="E2216" s="86">
        <f>QUOTIENT(116614000000,1000000)</f>
        <v>116614</v>
      </c>
      <c r="F2216" s="87">
        <f>QUOTIENT(12097000000,1000000)</f>
        <v>12097</v>
      </c>
      <c r="G2216" s="87">
        <f>QUOTIENT(26359000000,1000000)</f>
        <v>26359</v>
      </c>
      <c r="H2216" s="88">
        <f>QUOTIENT(34151000000,1000000)</f>
        <v>34151</v>
      </c>
    </row>
    <row r="2217" spans="1:8" ht="21.75" customHeight="1" x14ac:dyDescent="0.15">
      <c r="A2217" s="250"/>
      <c r="B2217" s="23" t="s">
        <v>2253</v>
      </c>
      <c r="C2217" s="22">
        <v>0</v>
      </c>
      <c r="D2217" s="86">
        <f>QUOTIENT(0,1000000)</f>
        <v>0</v>
      </c>
      <c r="E2217" s="86">
        <f>QUOTIENT(0,1000000)</f>
        <v>0</v>
      </c>
      <c r="F2217" s="87">
        <f>QUOTIENT(0,1000000)</f>
        <v>0</v>
      </c>
      <c r="G2217" s="87">
        <f>QUOTIENT(0,1000000)</f>
        <v>0</v>
      </c>
      <c r="H2217" s="88">
        <f>QUOTIENT(0,1000000)</f>
        <v>0</v>
      </c>
    </row>
    <row r="2218" spans="1:8" ht="21.75" customHeight="1" x14ac:dyDescent="0.15">
      <c r="A2218" s="250"/>
      <c r="B2218" s="23" t="s">
        <v>2254</v>
      </c>
      <c r="C2218" s="22">
        <v>238</v>
      </c>
      <c r="D2218" s="86">
        <f>QUOTIENT(7275610000000,1000000)</f>
        <v>7275610</v>
      </c>
      <c r="E2218" s="86">
        <f>QUOTIENT(617360000000,1000000)</f>
        <v>617360</v>
      </c>
      <c r="F2218" s="87">
        <f>QUOTIENT(2804310000000,1000000)</f>
        <v>2804310</v>
      </c>
      <c r="G2218" s="87">
        <f>QUOTIENT(2943390000000,1000000)</f>
        <v>2943390</v>
      </c>
      <c r="H2218" s="88">
        <f>QUOTIENT(910550000000,1000000)</f>
        <v>910550</v>
      </c>
    </row>
    <row r="2219" spans="1:8" ht="21.75" customHeight="1" x14ac:dyDescent="0.15">
      <c r="A2219" s="250"/>
      <c r="B2219" s="23" t="s">
        <v>2255</v>
      </c>
      <c r="C2219" s="22">
        <v>3525</v>
      </c>
      <c r="D2219" s="86">
        <f>QUOTIENT(69178824000000,1000000)</f>
        <v>69178824</v>
      </c>
      <c r="E2219" s="86">
        <f>QUOTIENT(16452807100000,1000000)</f>
        <v>16452807</v>
      </c>
      <c r="F2219" s="87">
        <f>QUOTIENT(10944044800000,1000000)</f>
        <v>10944044</v>
      </c>
      <c r="G2219" s="87">
        <f>QUOTIENT(33097841100000,1000000)</f>
        <v>33097841</v>
      </c>
      <c r="H2219" s="88">
        <f>QUOTIENT(8684131000000,1000000)</f>
        <v>8684131</v>
      </c>
    </row>
    <row r="2220" spans="1:8" ht="21.75" customHeight="1" x14ac:dyDescent="0.15">
      <c r="A2220" s="250"/>
      <c r="B2220" s="23" t="s">
        <v>2256</v>
      </c>
      <c r="C2220" s="22">
        <v>646</v>
      </c>
      <c r="D2220" s="86">
        <f>QUOTIENT(15302860000000,1000000)</f>
        <v>15302860</v>
      </c>
      <c r="E2220" s="86">
        <f>QUOTIENT(3109815600000,1000000)</f>
        <v>3109815</v>
      </c>
      <c r="F2220" s="87">
        <f>QUOTIENT(2878693800000,1000000)</f>
        <v>2878693</v>
      </c>
      <c r="G2220" s="87">
        <f>QUOTIENT(7695340800000,1000000)</f>
        <v>7695340</v>
      </c>
      <c r="H2220" s="88">
        <f>QUOTIENT(1619009800000,1000000)</f>
        <v>1619009</v>
      </c>
    </row>
    <row r="2221" spans="1:8" ht="21.75" customHeight="1" x14ac:dyDescent="0.15">
      <c r="A2221" s="250"/>
      <c r="B2221" s="23" t="s">
        <v>2257</v>
      </c>
      <c r="C2221" s="22">
        <v>58309</v>
      </c>
      <c r="D2221" s="86">
        <f>QUOTIENT(13254224918000,1000000)</f>
        <v>13254224</v>
      </c>
      <c r="E2221" s="86">
        <f>QUOTIENT(1075140700000,1000000)</f>
        <v>1075140</v>
      </c>
      <c r="F2221" s="87">
        <f>QUOTIENT(5163026744000,1000000)</f>
        <v>5163026</v>
      </c>
      <c r="G2221" s="87">
        <f>QUOTIENT(6631322474000,1000000)</f>
        <v>6631322</v>
      </c>
      <c r="H2221" s="88">
        <f>QUOTIENT(384735000000,1000000)</f>
        <v>384735</v>
      </c>
    </row>
    <row r="2222" spans="1:8" ht="21.75" customHeight="1" x14ac:dyDescent="0.15">
      <c r="A2222" s="250"/>
      <c r="B2222" s="23" t="s">
        <v>2258</v>
      </c>
      <c r="C2222" s="22">
        <v>311</v>
      </c>
      <c r="D2222" s="86">
        <f>QUOTIENT(836098488000,1000000)</f>
        <v>836098</v>
      </c>
      <c r="E2222" s="86">
        <f>QUOTIENT(52721100000,1000000)</f>
        <v>52721</v>
      </c>
      <c r="F2222" s="87">
        <f>QUOTIENT(543589744000,1000000)</f>
        <v>543589</v>
      </c>
      <c r="G2222" s="87">
        <f>QUOTIENT(239787644000,1000000)</f>
        <v>239787</v>
      </c>
      <c r="H2222" s="88">
        <f>QUOTIENT(0,1000000)</f>
        <v>0</v>
      </c>
    </row>
    <row r="2223" spans="1:8" ht="21.75" customHeight="1" x14ac:dyDescent="0.15">
      <c r="A2223" s="250"/>
      <c r="B2223" s="23" t="s">
        <v>2259</v>
      </c>
      <c r="C2223" s="22">
        <v>44</v>
      </c>
      <c r="D2223" s="86">
        <f>QUOTIENT(222900000000,1000000)</f>
        <v>222900</v>
      </c>
      <c r="E2223" s="86">
        <f>QUOTIENT(101012000000,1000000)</f>
        <v>101012</v>
      </c>
      <c r="F2223" s="87">
        <f>QUOTIENT(12400000000,1000000)</f>
        <v>12400</v>
      </c>
      <c r="G2223" s="87">
        <f>QUOTIENT(79386000000,1000000)</f>
        <v>79386</v>
      </c>
      <c r="H2223" s="88">
        <f>QUOTIENT(30102000000,1000000)</f>
        <v>30102</v>
      </c>
    </row>
    <row r="2224" spans="1:8" ht="21.75" customHeight="1" x14ac:dyDescent="0.15">
      <c r="A2224" s="250"/>
      <c r="B2224" s="23" t="s">
        <v>2260</v>
      </c>
      <c r="C2224" s="22">
        <v>538</v>
      </c>
      <c r="D2224" s="86">
        <f>QUOTIENT(2641429877000,1000000)</f>
        <v>2641429</v>
      </c>
      <c r="E2224" s="86">
        <f>QUOTIENT(200838930000,1000000)</f>
        <v>200838</v>
      </c>
      <c r="F2224" s="87">
        <f>QUOTIENT(1284164447000,1000000)</f>
        <v>1284164</v>
      </c>
      <c r="G2224" s="87">
        <f>QUOTIENT(1085731500000,1000000)</f>
        <v>1085731</v>
      </c>
      <c r="H2224" s="88">
        <f>QUOTIENT(70695000000,1000000)</f>
        <v>70695</v>
      </c>
    </row>
    <row r="2225" spans="1:8" ht="21.75" customHeight="1" x14ac:dyDescent="0.15">
      <c r="A2225" s="250"/>
      <c r="B2225" s="23" t="s">
        <v>2261</v>
      </c>
      <c r="C2225" s="22">
        <v>293</v>
      </c>
      <c r="D2225" s="86">
        <f>QUOTIENT(8475700000000,1000000)</f>
        <v>8475700</v>
      </c>
      <c r="E2225" s="86">
        <f>QUOTIENT(911285000000,1000000)</f>
        <v>911285</v>
      </c>
      <c r="F2225" s="87">
        <f>QUOTIENT(1791905000000,1000000)</f>
        <v>1791905</v>
      </c>
      <c r="G2225" s="87">
        <f>QUOTIENT(4958280000000,1000000)</f>
        <v>4958280</v>
      </c>
      <c r="H2225" s="88">
        <f>QUOTIENT(814230000000,1000000)</f>
        <v>814230</v>
      </c>
    </row>
    <row r="2226" spans="1:8" ht="21.75" customHeight="1" x14ac:dyDescent="0.15">
      <c r="A2226" s="250"/>
      <c r="B2226" s="23" t="s">
        <v>2262</v>
      </c>
      <c r="C2226" s="22">
        <v>73</v>
      </c>
      <c r="D2226" s="86">
        <f>QUOTIENT(2105450000000,1000000)</f>
        <v>2105450</v>
      </c>
      <c r="E2226" s="86">
        <f>QUOTIENT(210600000000,1000000)</f>
        <v>210600</v>
      </c>
      <c r="F2226" s="87">
        <f>QUOTIENT(725050000000,1000000)</f>
        <v>725050</v>
      </c>
      <c r="G2226" s="87">
        <f>QUOTIENT(938000000000,1000000)</f>
        <v>938000</v>
      </c>
      <c r="H2226" s="88">
        <f>QUOTIENT(231800000000,1000000)</f>
        <v>231800</v>
      </c>
    </row>
    <row r="2227" spans="1:8" ht="21.75" customHeight="1" x14ac:dyDescent="0.15">
      <c r="A2227" s="250"/>
      <c r="B2227" s="23" t="s">
        <v>2263</v>
      </c>
      <c r="C2227" s="22">
        <v>0</v>
      </c>
      <c r="D2227" s="86">
        <f t="shared" ref="D2227:H2229" si="55">QUOTIENT(0,1000000)</f>
        <v>0</v>
      </c>
      <c r="E2227" s="86">
        <f t="shared" si="55"/>
        <v>0</v>
      </c>
      <c r="F2227" s="87">
        <f t="shared" si="55"/>
        <v>0</v>
      </c>
      <c r="G2227" s="87">
        <f t="shared" si="55"/>
        <v>0</v>
      </c>
      <c r="H2227" s="88">
        <f t="shared" si="55"/>
        <v>0</v>
      </c>
    </row>
    <row r="2228" spans="1:8" ht="21.75" customHeight="1" x14ac:dyDescent="0.15">
      <c r="A2228" s="250"/>
      <c r="B2228" s="23" t="s">
        <v>2264</v>
      </c>
      <c r="C2228" s="22">
        <v>0</v>
      </c>
      <c r="D2228" s="86">
        <f t="shared" si="55"/>
        <v>0</v>
      </c>
      <c r="E2228" s="86">
        <f t="shared" si="55"/>
        <v>0</v>
      </c>
      <c r="F2228" s="87">
        <f t="shared" si="55"/>
        <v>0</v>
      </c>
      <c r="G2228" s="87">
        <f t="shared" si="55"/>
        <v>0</v>
      </c>
      <c r="H2228" s="88">
        <f t="shared" si="55"/>
        <v>0</v>
      </c>
    </row>
    <row r="2229" spans="1:8" ht="21.75" customHeight="1" x14ac:dyDescent="0.15">
      <c r="A2229" s="250"/>
      <c r="B2229" s="23" t="s">
        <v>2265</v>
      </c>
      <c r="C2229" s="22">
        <v>0</v>
      </c>
      <c r="D2229" s="86">
        <f t="shared" si="55"/>
        <v>0</v>
      </c>
      <c r="E2229" s="86">
        <f t="shared" si="55"/>
        <v>0</v>
      </c>
      <c r="F2229" s="87">
        <f t="shared" si="55"/>
        <v>0</v>
      </c>
      <c r="G2229" s="87">
        <f t="shared" si="55"/>
        <v>0</v>
      </c>
      <c r="H2229" s="88">
        <f t="shared" si="55"/>
        <v>0</v>
      </c>
    </row>
    <row r="2230" spans="1:8" ht="21.75" customHeight="1" x14ac:dyDescent="0.15">
      <c r="A2230" s="251"/>
      <c r="B2230" s="23" t="s">
        <v>7</v>
      </c>
      <c r="C2230" s="22">
        <v>24</v>
      </c>
      <c r="D2230" s="86">
        <f>QUOTIENT(16241900000,1000000)</f>
        <v>16241</v>
      </c>
      <c r="E2230" s="86">
        <f>QUOTIENT(466900000,1000000)</f>
        <v>466</v>
      </c>
      <c r="F2230" s="87">
        <f>QUOTIENT(14000000000,1000000)</f>
        <v>14000</v>
      </c>
      <c r="G2230" s="87">
        <f>QUOTIENT(1775000000,1000000)</f>
        <v>1775</v>
      </c>
      <c r="H2230" s="88">
        <f>QUOTIENT(0,1000000)</f>
        <v>0</v>
      </c>
    </row>
    <row r="2231" spans="1:8" ht="21.75" customHeight="1" x14ac:dyDescent="0.15">
      <c r="A2231" s="18" t="s">
        <v>2266</v>
      </c>
      <c r="B2231" s="17" t="s">
        <v>2267</v>
      </c>
      <c r="C2231" s="16">
        <v>3507</v>
      </c>
      <c r="D2231" s="80">
        <v>20473556</v>
      </c>
      <c r="E2231" s="80">
        <v>759900</v>
      </c>
      <c r="F2231" s="81">
        <v>9004143</v>
      </c>
      <c r="G2231" s="81">
        <v>7643664</v>
      </c>
      <c r="H2231" s="82">
        <v>3065849</v>
      </c>
    </row>
    <row r="2232" spans="1:8" ht="21.75" customHeight="1" x14ac:dyDescent="0.15">
      <c r="A2232" s="252" t="s">
        <v>4</v>
      </c>
      <c r="B2232" s="12" t="s">
        <v>2268</v>
      </c>
      <c r="C2232" s="11">
        <v>5863</v>
      </c>
      <c r="D2232" s="89">
        <v>79978059</v>
      </c>
      <c r="E2232" s="89">
        <v>48498974</v>
      </c>
      <c r="F2232" s="90">
        <v>13358750</v>
      </c>
      <c r="G2232" s="90">
        <v>11020624</v>
      </c>
      <c r="H2232" s="91">
        <v>7099709</v>
      </c>
    </row>
    <row r="2233" spans="1:8" ht="21.75" customHeight="1" thickBot="1" x14ac:dyDescent="0.2">
      <c r="A2233" s="253"/>
      <c r="B2233" s="7" t="s">
        <v>1153</v>
      </c>
      <c r="C2233" s="6">
        <v>6797</v>
      </c>
      <c r="D2233" s="92" t="s">
        <v>2269</v>
      </c>
      <c r="E2233" s="92" t="s">
        <v>2270</v>
      </c>
      <c r="F2233" s="92" t="s">
        <v>2271</v>
      </c>
      <c r="G2233" s="92" t="s">
        <v>2269</v>
      </c>
      <c r="H2233" s="93" t="s">
        <v>2269</v>
      </c>
    </row>
    <row r="2234" spans="1:8" ht="18" customHeight="1" x14ac:dyDescent="0.15">
      <c r="A2234" s="3" t="s">
        <v>2272</v>
      </c>
      <c r="B2234" s="2"/>
      <c r="C2234" s="2"/>
      <c r="D2234" s="2"/>
      <c r="E2234" s="2"/>
      <c r="F2234" s="2"/>
      <c r="G2234" s="2"/>
      <c r="H2234" s="2"/>
    </row>
    <row r="2235" spans="1:8" ht="18" customHeight="1" x14ac:dyDescent="0.15">
      <c r="A2235" s="3" t="s">
        <v>2587</v>
      </c>
      <c r="B2235" s="2"/>
      <c r="C2235" s="2"/>
      <c r="D2235" s="2"/>
      <c r="E2235" s="2"/>
      <c r="F2235" s="2"/>
      <c r="G2235" s="2"/>
      <c r="H2235" s="2"/>
    </row>
    <row r="2236" spans="1:8" ht="18" customHeight="1" x14ac:dyDescent="0.15">
      <c r="A2236" s="3" t="s">
        <v>2273</v>
      </c>
      <c r="B2236" s="2"/>
      <c r="C2236" s="2"/>
      <c r="D2236" s="2"/>
      <c r="E2236" s="2"/>
      <c r="F2236" s="2"/>
      <c r="G2236" s="2"/>
      <c r="H2236" s="2"/>
    </row>
    <row r="2237" spans="1:8" ht="24" customHeight="1" x14ac:dyDescent="0.15">
      <c r="A2237" s="3" t="s">
        <v>2274</v>
      </c>
      <c r="B2237" s="2"/>
      <c r="C2237" s="2"/>
      <c r="D2237" s="2"/>
      <c r="E2237" s="2"/>
      <c r="F2237" s="2"/>
      <c r="G2237" s="2"/>
      <c r="H2237" s="2"/>
    </row>
    <row r="2238" spans="1:8" ht="24" customHeight="1" x14ac:dyDescent="0.15">
      <c r="A2238" s="230" t="s">
        <v>2180</v>
      </c>
      <c r="B2238" s="230"/>
      <c r="C2238" s="230"/>
      <c r="D2238" s="230"/>
      <c r="E2238" s="230"/>
      <c r="F2238" s="230"/>
      <c r="G2238" s="230"/>
      <c r="H2238" s="230"/>
    </row>
    <row r="2239" spans="1:8" ht="17.25" x14ac:dyDescent="0.15">
      <c r="A2239" s="231"/>
      <c r="B2239" s="231"/>
      <c r="C2239" s="231"/>
      <c r="D2239" s="231"/>
      <c r="E2239" s="231"/>
      <c r="F2239" s="231"/>
      <c r="G2239" s="231"/>
      <c r="H2239" s="231"/>
    </row>
    <row r="2240" spans="1:8" ht="18" customHeight="1" thickBot="1" x14ac:dyDescent="0.2">
      <c r="A2240" s="58" t="s">
        <v>2181</v>
      </c>
    </row>
    <row r="2241" spans="1:8" ht="18" customHeight="1" x14ac:dyDescent="0.15">
      <c r="A2241" s="232" t="s">
        <v>2182</v>
      </c>
      <c r="B2241" s="235" t="s">
        <v>2183</v>
      </c>
      <c r="C2241" s="238" t="s">
        <v>2184</v>
      </c>
      <c r="D2241" s="241" t="s">
        <v>2185</v>
      </c>
      <c r="E2241" s="57"/>
      <c r="F2241" s="56"/>
      <c r="G2241" s="56"/>
      <c r="H2241" s="55"/>
    </row>
    <row r="2242" spans="1:8" ht="18" customHeight="1" x14ac:dyDescent="0.15">
      <c r="A2242" s="233"/>
      <c r="B2242" s="236"/>
      <c r="C2242" s="239"/>
      <c r="D2242" s="242"/>
      <c r="E2242" s="244" t="s">
        <v>2186</v>
      </c>
      <c r="F2242" s="246" t="s">
        <v>2187</v>
      </c>
      <c r="G2242" s="246" t="s">
        <v>2188</v>
      </c>
      <c r="H2242" s="248" t="s">
        <v>2189</v>
      </c>
    </row>
    <row r="2243" spans="1:8" s="60" customFormat="1" ht="18" customHeight="1" thickBot="1" x14ac:dyDescent="0.2">
      <c r="A2243" s="234"/>
      <c r="B2243" s="237"/>
      <c r="C2243" s="240"/>
      <c r="D2243" s="243"/>
      <c r="E2243" s="245"/>
      <c r="F2243" s="247"/>
      <c r="G2243" s="247"/>
      <c r="H2243" s="249"/>
    </row>
    <row r="2244" spans="1:8" ht="21.75" customHeight="1" thickTop="1" x14ac:dyDescent="0.15">
      <c r="A2244" s="54"/>
      <c r="B2244" s="53"/>
      <c r="C2244" s="52"/>
      <c r="D2244" s="51" t="s">
        <v>39</v>
      </c>
      <c r="E2244" s="50" t="s">
        <v>2190</v>
      </c>
      <c r="F2244" s="49" t="s">
        <v>39</v>
      </c>
      <c r="G2244" s="49" t="s">
        <v>2190</v>
      </c>
      <c r="H2244" s="48" t="s">
        <v>39</v>
      </c>
    </row>
    <row r="2245" spans="1:8" ht="21.75" customHeight="1" x14ac:dyDescent="0.15">
      <c r="A2245" s="250" t="s">
        <v>38</v>
      </c>
      <c r="B2245" s="61" t="s">
        <v>2191</v>
      </c>
      <c r="C2245" s="62">
        <v>3796</v>
      </c>
      <c r="D2245" s="63">
        <f>QUOTIENT(671870414002665,1000000)</f>
        <v>671870414</v>
      </c>
      <c r="E2245" s="63">
        <f>QUOTIENT(252445703584063,1000000)</f>
        <v>252445703</v>
      </c>
      <c r="F2245" s="64">
        <f>QUOTIENT(207483341322502,1000000)</f>
        <v>207483341</v>
      </c>
      <c r="G2245" s="64">
        <f>QUOTIENT(208085128579126,1000000)</f>
        <v>208085128</v>
      </c>
      <c r="H2245" s="65">
        <f>QUOTIENT(3856240516973,1000000)</f>
        <v>3856240</v>
      </c>
    </row>
    <row r="2246" spans="1:8" ht="21.75" customHeight="1" x14ac:dyDescent="0.15">
      <c r="A2246" s="250"/>
      <c r="B2246" s="66" t="s">
        <v>2192</v>
      </c>
      <c r="C2246" s="67">
        <v>24</v>
      </c>
      <c r="D2246" s="68">
        <f>QUOTIENT(275946234500,1000000)</f>
        <v>275946</v>
      </c>
      <c r="E2246" s="68">
        <f>QUOTIENT(71893664500,1000000)</f>
        <v>71893</v>
      </c>
      <c r="F2246" s="69">
        <f>QUOTIENT(183021990500,1000000)</f>
        <v>183021</v>
      </c>
      <c r="G2246" s="69">
        <f>QUOTIENT(21030579500,1000000)</f>
        <v>21030</v>
      </c>
      <c r="H2246" s="70">
        <f>QUOTIENT(0,1000000)</f>
        <v>0</v>
      </c>
    </row>
    <row r="2247" spans="1:8" ht="21.75" customHeight="1" x14ac:dyDescent="0.15">
      <c r="A2247" s="250"/>
      <c r="B2247" s="66" t="s">
        <v>2193</v>
      </c>
      <c r="C2247" s="67">
        <v>96</v>
      </c>
      <c r="D2247" s="68">
        <f>QUOTIENT(0,1000000)</f>
        <v>0</v>
      </c>
      <c r="E2247" s="68">
        <f>QUOTIENT(0,1000000)</f>
        <v>0</v>
      </c>
      <c r="F2247" s="69">
        <f>QUOTIENT(0,1000000)</f>
        <v>0</v>
      </c>
      <c r="G2247" s="69">
        <f>QUOTIENT(0,1000000)</f>
        <v>0</v>
      </c>
      <c r="H2247" s="70">
        <f>QUOTIENT(0,1000000)</f>
        <v>0</v>
      </c>
    </row>
    <row r="2248" spans="1:8" ht="21.75" customHeight="1" x14ac:dyDescent="0.15">
      <c r="A2248" s="250"/>
      <c r="B2248" s="71" t="s">
        <v>2194</v>
      </c>
      <c r="C2248" s="72">
        <v>1</v>
      </c>
      <c r="D2248" s="73">
        <f>QUOTIENT(171035613000,1000000)</f>
        <v>171035</v>
      </c>
      <c r="E2248" s="73">
        <f>QUOTIENT(128241330000,1000000)</f>
        <v>128241</v>
      </c>
      <c r="F2248" s="74">
        <f>QUOTIENT(8410479000,1000000)</f>
        <v>8410</v>
      </c>
      <c r="G2248" s="74">
        <f>QUOTIENT(31238508000,1000000)</f>
        <v>31238</v>
      </c>
      <c r="H2248" s="75">
        <f>QUOTIENT(3145296000,1000000)</f>
        <v>3145</v>
      </c>
    </row>
    <row r="2249" spans="1:8" ht="21.75" customHeight="1" x14ac:dyDescent="0.15">
      <c r="A2249" s="250"/>
      <c r="B2249" s="66" t="s">
        <v>2195</v>
      </c>
      <c r="C2249" s="67">
        <v>70</v>
      </c>
      <c r="D2249" s="68">
        <f>QUOTIENT(16964412201320,1000000)</f>
        <v>16964412</v>
      </c>
      <c r="E2249" s="68">
        <f>QUOTIENT(4300785792760,1000000)</f>
        <v>4300785</v>
      </c>
      <c r="F2249" s="69">
        <f>QUOTIENT(4928433659890,1000000)</f>
        <v>4928433</v>
      </c>
      <c r="G2249" s="69">
        <f>QUOTIENT(7619081777320,1000000)</f>
        <v>7619081</v>
      </c>
      <c r="H2249" s="70">
        <f>QUOTIENT(116110971350,1000000)</f>
        <v>116110</v>
      </c>
    </row>
    <row r="2250" spans="1:8" ht="21.75" customHeight="1" x14ac:dyDescent="0.15">
      <c r="A2250" s="250"/>
      <c r="B2250" s="76" t="s">
        <v>2196</v>
      </c>
      <c r="C2250" s="67">
        <v>195</v>
      </c>
      <c r="D2250" s="68">
        <f>QUOTIENT(42670163939190,1000000)</f>
        <v>42670163</v>
      </c>
      <c r="E2250" s="68">
        <f>QUOTIENT(3897224141871,1000000)</f>
        <v>3897224</v>
      </c>
      <c r="F2250" s="69">
        <f>QUOTIENT(1297500613352,1000000)</f>
        <v>1297500</v>
      </c>
      <c r="G2250" s="69">
        <f>QUOTIENT(37434068640113,1000000)</f>
        <v>37434068</v>
      </c>
      <c r="H2250" s="70">
        <f>QUOTIENT(41370543854,1000000)</f>
        <v>41370</v>
      </c>
    </row>
    <row r="2251" spans="1:8" ht="21.75" customHeight="1" x14ac:dyDescent="0.15">
      <c r="A2251" s="251"/>
      <c r="B2251" s="77" t="s">
        <v>2197</v>
      </c>
      <c r="C2251" s="72">
        <v>41</v>
      </c>
      <c r="D2251" s="73">
        <f>QUOTIENT(231960477772,1000000)</f>
        <v>231960</v>
      </c>
      <c r="E2251" s="73">
        <f>QUOTIENT(199767008535,1000000)</f>
        <v>199767</v>
      </c>
      <c r="F2251" s="74">
        <f>QUOTIENT(1638336495,1000000)</f>
        <v>1638</v>
      </c>
      <c r="G2251" s="74">
        <f>QUOTIENT(30204443036,1000000)</f>
        <v>30204</v>
      </c>
      <c r="H2251" s="75">
        <f>QUOTIENT(350689706,1000000)</f>
        <v>350</v>
      </c>
    </row>
    <row r="2252" spans="1:8" ht="21.75" customHeight="1" x14ac:dyDescent="0.15">
      <c r="A2252" s="30" t="s">
        <v>2198</v>
      </c>
      <c r="B2252" s="78" t="s">
        <v>2199</v>
      </c>
      <c r="C2252" s="79">
        <v>28</v>
      </c>
      <c r="D2252" s="80">
        <f>QUOTIENT(75100128864,1000000)</f>
        <v>75100</v>
      </c>
      <c r="E2252" s="80">
        <f>QUOTIENT(72562721296,1000000)</f>
        <v>72562</v>
      </c>
      <c r="F2252" s="81">
        <f>QUOTIENT(1210155093,1000000)</f>
        <v>1210</v>
      </c>
      <c r="G2252" s="81">
        <f>QUOTIENT(449750700,1000000)</f>
        <v>449</v>
      </c>
      <c r="H2252" s="82">
        <f>QUOTIENT(877501775,1000000)</f>
        <v>877</v>
      </c>
    </row>
    <row r="2253" spans="1:8" ht="21.75" customHeight="1" x14ac:dyDescent="0.15">
      <c r="A2253" s="252" t="s">
        <v>2200</v>
      </c>
      <c r="B2253" s="17" t="s">
        <v>2201</v>
      </c>
      <c r="C2253" s="16">
        <v>3217</v>
      </c>
      <c r="D2253" s="83">
        <f>QUOTIENT(62245852770000,1000000)</f>
        <v>62245852</v>
      </c>
      <c r="E2253" s="83">
        <f>QUOTIENT(9670727490000,1000000)</f>
        <v>9670727</v>
      </c>
      <c r="F2253" s="84">
        <f>QUOTIENT(13811000020000,1000000)</f>
        <v>13811000</v>
      </c>
      <c r="G2253" s="84">
        <f>QUOTIENT(30840294820000,1000000)</f>
        <v>30840294</v>
      </c>
      <c r="H2253" s="85">
        <f>QUOTIENT(7923830440000,1000000)</f>
        <v>7923830</v>
      </c>
    </row>
    <row r="2254" spans="1:8" ht="21.75" customHeight="1" x14ac:dyDescent="0.15">
      <c r="A2254" s="250"/>
      <c r="B2254" s="23" t="s">
        <v>2202</v>
      </c>
      <c r="C2254" s="22">
        <v>3339</v>
      </c>
      <c r="D2254" s="86">
        <f>QUOTIENT(14514003391000,1000000)</f>
        <v>14514003</v>
      </c>
      <c r="E2254" s="86">
        <f>QUOTIENT(651674070000,1000000)</f>
        <v>651674</v>
      </c>
      <c r="F2254" s="87">
        <f>QUOTIENT(5330288893000,1000000)</f>
        <v>5330288</v>
      </c>
      <c r="G2254" s="87">
        <f>QUOTIENT(6910753138000,1000000)</f>
        <v>6910753</v>
      </c>
      <c r="H2254" s="88">
        <f>QUOTIENT(1621287290000,1000000)</f>
        <v>1621287</v>
      </c>
    </row>
    <row r="2255" spans="1:8" ht="21.75" customHeight="1" x14ac:dyDescent="0.15">
      <c r="A2255" s="250"/>
      <c r="B2255" s="24" t="s">
        <v>25</v>
      </c>
      <c r="C2255" s="22">
        <v>629</v>
      </c>
      <c r="D2255" s="86">
        <f>QUOTIENT(28859970000000,1000000)</f>
        <v>28859970</v>
      </c>
      <c r="E2255" s="86">
        <f>QUOTIENT(2069694100000,1000000)</f>
        <v>2069694</v>
      </c>
      <c r="F2255" s="87">
        <f>QUOTIENT(9622387800000,1000000)</f>
        <v>9622387</v>
      </c>
      <c r="G2255" s="87">
        <f>QUOTIENT(13204780800000,1000000)</f>
        <v>13204780</v>
      </c>
      <c r="H2255" s="88">
        <f>QUOTIENT(3963107300000,1000000)</f>
        <v>3963107</v>
      </c>
    </row>
    <row r="2256" spans="1:8" ht="21.75" customHeight="1" x14ac:dyDescent="0.15">
      <c r="A2256" s="250"/>
      <c r="B2256" s="23" t="s">
        <v>24</v>
      </c>
      <c r="C2256" s="22">
        <v>1831</v>
      </c>
      <c r="D2256" s="86">
        <f>QUOTIENT(52987000000000,1000000)</f>
        <v>52987000</v>
      </c>
      <c r="E2256" s="86">
        <f>QUOTIENT(5380393800000,1000000)</f>
        <v>5380393</v>
      </c>
      <c r="F2256" s="87">
        <f>QUOTIENT(11513662800000,1000000)</f>
        <v>11513662</v>
      </c>
      <c r="G2256" s="87">
        <f>QUOTIENT(31813344400000,1000000)</f>
        <v>31813344</v>
      </c>
      <c r="H2256" s="88">
        <f>QUOTIENT(4279599000000,1000000)</f>
        <v>4279599</v>
      </c>
    </row>
    <row r="2257" spans="1:8" ht="21.75" customHeight="1" x14ac:dyDescent="0.15">
      <c r="A2257" s="250"/>
      <c r="B2257" s="23" t="s">
        <v>2203</v>
      </c>
      <c r="C2257" s="22">
        <v>394</v>
      </c>
      <c r="D2257" s="86">
        <f>QUOTIENT(4799863000000,1000000)</f>
        <v>4799863</v>
      </c>
      <c r="E2257" s="86">
        <f>QUOTIENT(354278200000,1000000)</f>
        <v>354278</v>
      </c>
      <c r="F2257" s="87">
        <f>QUOTIENT(73196500000,1000000)</f>
        <v>73196</v>
      </c>
      <c r="G2257" s="87">
        <f>QUOTIENT(4332549300000,1000000)</f>
        <v>4332549</v>
      </c>
      <c r="H2257" s="88">
        <f>QUOTIENT(39839000000,1000000)</f>
        <v>39839</v>
      </c>
    </row>
    <row r="2258" spans="1:8" ht="21.75" customHeight="1" x14ac:dyDescent="0.15">
      <c r="A2258" s="250"/>
      <c r="B2258" s="23" t="s">
        <v>22</v>
      </c>
      <c r="C2258" s="22">
        <v>136</v>
      </c>
      <c r="D2258" s="86">
        <f>QUOTIENT(1187800000000,1000000)</f>
        <v>1187800</v>
      </c>
      <c r="E2258" s="86">
        <f>QUOTIENT(284370000000,1000000)</f>
        <v>284370</v>
      </c>
      <c r="F2258" s="87">
        <f>QUOTIENT(95900000000,1000000)</f>
        <v>95900</v>
      </c>
      <c r="G2258" s="87">
        <f>QUOTIENT(518530000000,1000000)</f>
        <v>518530</v>
      </c>
      <c r="H2258" s="88">
        <f>QUOTIENT(289000000000,1000000)</f>
        <v>289000</v>
      </c>
    </row>
    <row r="2259" spans="1:8" ht="21.75" customHeight="1" x14ac:dyDescent="0.15">
      <c r="A2259" s="250"/>
      <c r="B2259" s="23" t="s">
        <v>21</v>
      </c>
      <c r="C2259" s="22">
        <v>26</v>
      </c>
      <c r="D2259" s="86">
        <f>QUOTIENT(189221000000,1000000)</f>
        <v>189221</v>
      </c>
      <c r="E2259" s="86">
        <f>QUOTIENT(116614000000,1000000)</f>
        <v>116614</v>
      </c>
      <c r="F2259" s="87">
        <f>QUOTIENT(12097000000,1000000)</f>
        <v>12097</v>
      </c>
      <c r="G2259" s="87">
        <f>QUOTIENT(26359000000,1000000)</f>
        <v>26359</v>
      </c>
      <c r="H2259" s="88">
        <f>QUOTIENT(34151000000,1000000)</f>
        <v>34151</v>
      </c>
    </row>
    <row r="2260" spans="1:8" ht="21.75" customHeight="1" x14ac:dyDescent="0.15">
      <c r="A2260" s="250"/>
      <c r="B2260" s="23" t="s">
        <v>2204</v>
      </c>
      <c r="C2260" s="22">
        <v>0</v>
      </c>
      <c r="D2260" s="86">
        <f>QUOTIENT(0,1000000)</f>
        <v>0</v>
      </c>
      <c r="E2260" s="86">
        <f>QUOTIENT(0,1000000)</f>
        <v>0</v>
      </c>
      <c r="F2260" s="87">
        <f>QUOTIENT(0,1000000)</f>
        <v>0</v>
      </c>
      <c r="G2260" s="87">
        <f>QUOTIENT(0,1000000)</f>
        <v>0</v>
      </c>
      <c r="H2260" s="88">
        <f>QUOTIENT(0,1000000)</f>
        <v>0</v>
      </c>
    </row>
    <row r="2261" spans="1:8" ht="21.75" customHeight="1" x14ac:dyDescent="0.15">
      <c r="A2261" s="250"/>
      <c r="B2261" s="23" t="s">
        <v>2205</v>
      </c>
      <c r="C2261" s="22">
        <v>238</v>
      </c>
      <c r="D2261" s="86">
        <f>QUOTIENT(7369040000000,1000000)</f>
        <v>7369040</v>
      </c>
      <c r="E2261" s="86">
        <f>QUOTIENT(631350000000,1000000)</f>
        <v>631350</v>
      </c>
      <c r="F2261" s="87">
        <f>QUOTIENT(2792030000000,1000000)</f>
        <v>2792030</v>
      </c>
      <c r="G2261" s="87">
        <f>QUOTIENT(2986070000000,1000000)</f>
        <v>2986070</v>
      </c>
      <c r="H2261" s="88">
        <f>QUOTIENT(959590000000,1000000)</f>
        <v>959590</v>
      </c>
    </row>
    <row r="2262" spans="1:8" ht="21.75" customHeight="1" x14ac:dyDescent="0.15">
      <c r="A2262" s="250"/>
      <c r="B2262" s="23" t="s">
        <v>2206</v>
      </c>
      <c r="C2262" s="22">
        <v>3501</v>
      </c>
      <c r="D2262" s="86">
        <f>QUOTIENT(68716397000000,1000000)</f>
        <v>68716397</v>
      </c>
      <c r="E2262" s="86">
        <f>QUOTIENT(16352369700000,1000000)</f>
        <v>16352369</v>
      </c>
      <c r="F2262" s="87">
        <f>QUOTIENT(10891230600000,1000000)</f>
        <v>10891230</v>
      </c>
      <c r="G2262" s="87">
        <f>QUOTIENT(33034113700000,1000000)</f>
        <v>33034113</v>
      </c>
      <c r="H2262" s="88">
        <f>QUOTIENT(8438683000000,1000000)</f>
        <v>8438683</v>
      </c>
    </row>
    <row r="2263" spans="1:8" ht="21.75" customHeight="1" x14ac:dyDescent="0.15">
      <c r="A2263" s="250"/>
      <c r="B2263" s="23" t="s">
        <v>17</v>
      </c>
      <c r="C2263" s="22">
        <v>652</v>
      </c>
      <c r="D2263" s="86">
        <f>QUOTIENT(15600360000000,1000000)</f>
        <v>15600360</v>
      </c>
      <c r="E2263" s="86">
        <f>QUOTIENT(3125985700000,1000000)</f>
        <v>3125985</v>
      </c>
      <c r="F2263" s="87">
        <f>QUOTIENT(2862799100000,1000000)</f>
        <v>2862799</v>
      </c>
      <c r="G2263" s="87">
        <f>QUOTIENT(7984856400000,1000000)</f>
        <v>7984856</v>
      </c>
      <c r="H2263" s="88">
        <f>QUOTIENT(1626718800000,1000000)</f>
        <v>1626718</v>
      </c>
    </row>
    <row r="2264" spans="1:8" ht="21.75" customHeight="1" x14ac:dyDescent="0.15">
      <c r="A2264" s="250"/>
      <c r="B2264" s="23" t="s">
        <v>2207</v>
      </c>
      <c r="C2264" s="22">
        <v>57882</v>
      </c>
      <c r="D2264" s="86">
        <f>QUOTIENT(13267092888000,1000000)</f>
        <v>13267092</v>
      </c>
      <c r="E2264" s="86">
        <f>QUOTIENT(1128930700000,1000000)</f>
        <v>1128930</v>
      </c>
      <c r="F2264" s="87">
        <f>QUOTIENT(5186013744000,1000000)</f>
        <v>5186013</v>
      </c>
      <c r="G2264" s="87">
        <f>QUOTIENT(6567033444000,1000000)</f>
        <v>6567033</v>
      </c>
      <c r="H2264" s="88">
        <f>QUOTIENT(385115000000,1000000)</f>
        <v>385115</v>
      </c>
    </row>
    <row r="2265" spans="1:8" ht="21.75" customHeight="1" x14ac:dyDescent="0.15">
      <c r="A2265" s="250"/>
      <c r="B2265" s="23" t="s">
        <v>2208</v>
      </c>
      <c r="C2265" s="22">
        <v>314</v>
      </c>
      <c r="D2265" s="86">
        <f>QUOTIENT(893898488000,1000000)</f>
        <v>893898</v>
      </c>
      <c r="E2265" s="86">
        <f>QUOTIENT(103021100000,1000000)</f>
        <v>103021</v>
      </c>
      <c r="F2265" s="87">
        <f>QUOTIENT(551089744000,1000000)</f>
        <v>551089</v>
      </c>
      <c r="G2265" s="87">
        <f>QUOTIENT(239787644000,1000000)</f>
        <v>239787</v>
      </c>
      <c r="H2265" s="88">
        <f>QUOTIENT(0,1000000)</f>
        <v>0</v>
      </c>
    </row>
    <row r="2266" spans="1:8" ht="21.75" customHeight="1" x14ac:dyDescent="0.15">
      <c r="A2266" s="250"/>
      <c r="B2266" s="23" t="s">
        <v>2209</v>
      </c>
      <c r="C2266" s="22">
        <v>44</v>
      </c>
      <c r="D2266" s="86">
        <f>QUOTIENT(222900000000,1000000)</f>
        <v>222900</v>
      </c>
      <c r="E2266" s="86">
        <f>QUOTIENT(100516000000,1000000)</f>
        <v>100516</v>
      </c>
      <c r="F2266" s="87">
        <f>QUOTIENT(12400000000,1000000)</f>
        <v>12400</v>
      </c>
      <c r="G2266" s="87">
        <f>QUOTIENT(79782000000,1000000)</f>
        <v>79782</v>
      </c>
      <c r="H2266" s="88">
        <f>QUOTIENT(30202000000,1000000)</f>
        <v>30202</v>
      </c>
    </row>
    <row r="2267" spans="1:8" ht="21.75" customHeight="1" x14ac:dyDescent="0.15">
      <c r="A2267" s="250"/>
      <c r="B2267" s="23" t="s">
        <v>2210</v>
      </c>
      <c r="C2267" s="22">
        <v>531</v>
      </c>
      <c r="D2267" s="86">
        <f>QUOTIENT(2597277177000,1000000)</f>
        <v>2597277</v>
      </c>
      <c r="E2267" s="86">
        <f>QUOTIENT(197673930000,1000000)</f>
        <v>197673</v>
      </c>
      <c r="F2267" s="87">
        <f>QUOTIENT(1271808747000,1000000)</f>
        <v>1271808</v>
      </c>
      <c r="G2267" s="87">
        <f>QUOTIENT(1057099500000,1000000)</f>
        <v>1057099</v>
      </c>
      <c r="H2267" s="88">
        <f>QUOTIENT(70695000000,1000000)</f>
        <v>70695</v>
      </c>
    </row>
    <row r="2268" spans="1:8" ht="21.75" customHeight="1" x14ac:dyDescent="0.15">
      <c r="A2268" s="250"/>
      <c r="B2268" s="23" t="s">
        <v>2211</v>
      </c>
      <c r="C2268" s="22">
        <v>293</v>
      </c>
      <c r="D2268" s="86">
        <f>QUOTIENT(8528000000000,1000000)</f>
        <v>8528000</v>
      </c>
      <c r="E2268" s="86">
        <f>QUOTIENT(902285000000,1000000)</f>
        <v>902285</v>
      </c>
      <c r="F2268" s="87">
        <f>QUOTIENT(1853805000000,1000000)</f>
        <v>1853805</v>
      </c>
      <c r="G2268" s="87">
        <f>QUOTIENT(4962980000000,1000000)</f>
        <v>4962980</v>
      </c>
      <c r="H2268" s="88">
        <f>QUOTIENT(808930000000,1000000)</f>
        <v>808930</v>
      </c>
    </row>
    <row r="2269" spans="1:8" ht="21.75" customHeight="1" x14ac:dyDescent="0.15">
      <c r="A2269" s="250"/>
      <c r="B2269" s="23" t="s">
        <v>2212</v>
      </c>
      <c r="C2269" s="22">
        <v>74</v>
      </c>
      <c r="D2269" s="86">
        <f>QUOTIENT(2255450000000,1000000)</f>
        <v>2255450</v>
      </c>
      <c r="E2269" s="86">
        <f>QUOTIENT(187000000000,1000000)</f>
        <v>187000</v>
      </c>
      <c r="F2269" s="87">
        <f>QUOTIENT(796750000000,1000000)</f>
        <v>796750</v>
      </c>
      <c r="G2269" s="87">
        <f>QUOTIENT(1039900000000,1000000)</f>
        <v>1039900</v>
      </c>
      <c r="H2269" s="88">
        <f>QUOTIENT(231800000000,1000000)</f>
        <v>231800</v>
      </c>
    </row>
    <row r="2270" spans="1:8" ht="21.75" customHeight="1" x14ac:dyDescent="0.15">
      <c r="A2270" s="250"/>
      <c r="B2270" s="23" t="s">
        <v>2213</v>
      </c>
      <c r="C2270" s="22">
        <v>0</v>
      </c>
      <c r="D2270" s="86">
        <f t="shared" ref="D2270:H2272" si="56">QUOTIENT(0,1000000)</f>
        <v>0</v>
      </c>
      <c r="E2270" s="86">
        <f t="shared" si="56"/>
        <v>0</v>
      </c>
      <c r="F2270" s="87">
        <f t="shared" si="56"/>
        <v>0</v>
      </c>
      <c r="G2270" s="87">
        <f t="shared" si="56"/>
        <v>0</v>
      </c>
      <c r="H2270" s="88">
        <f t="shared" si="56"/>
        <v>0</v>
      </c>
    </row>
    <row r="2271" spans="1:8" ht="21.75" customHeight="1" x14ac:dyDescent="0.15">
      <c r="A2271" s="250"/>
      <c r="B2271" s="23" t="s">
        <v>2214</v>
      </c>
      <c r="C2271" s="22">
        <v>0</v>
      </c>
      <c r="D2271" s="86">
        <f t="shared" si="56"/>
        <v>0</v>
      </c>
      <c r="E2271" s="86">
        <f t="shared" si="56"/>
        <v>0</v>
      </c>
      <c r="F2271" s="87">
        <f t="shared" si="56"/>
        <v>0</v>
      </c>
      <c r="G2271" s="87">
        <f t="shared" si="56"/>
        <v>0</v>
      </c>
      <c r="H2271" s="88">
        <f t="shared" si="56"/>
        <v>0</v>
      </c>
    </row>
    <row r="2272" spans="1:8" ht="21.75" customHeight="1" x14ac:dyDescent="0.15">
      <c r="A2272" s="250"/>
      <c r="B2272" s="23" t="s">
        <v>2215</v>
      </c>
      <c r="C2272" s="22">
        <v>0</v>
      </c>
      <c r="D2272" s="86">
        <f t="shared" si="56"/>
        <v>0</v>
      </c>
      <c r="E2272" s="86">
        <f t="shared" si="56"/>
        <v>0</v>
      </c>
      <c r="F2272" s="87">
        <f t="shared" si="56"/>
        <v>0</v>
      </c>
      <c r="G2272" s="87">
        <f t="shared" si="56"/>
        <v>0</v>
      </c>
      <c r="H2272" s="88">
        <f t="shared" si="56"/>
        <v>0</v>
      </c>
    </row>
    <row r="2273" spans="1:8" ht="21.75" customHeight="1" x14ac:dyDescent="0.15">
      <c r="A2273" s="251"/>
      <c r="B2273" s="23" t="s">
        <v>2216</v>
      </c>
      <c r="C2273" s="22">
        <v>24</v>
      </c>
      <c r="D2273" s="86">
        <f>QUOTIENT(16241900000,1000000)</f>
        <v>16241</v>
      </c>
      <c r="E2273" s="86">
        <f>QUOTIENT(466900000,1000000)</f>
        <v>466</v>
      </c>
      <c r="F2273" s="87">
        <f>QUOTIENT(14000000000,1000000)</f>
        <v>14000</v>
      </c>
      <c r="G2273" s="87">
        <f>QUOTIENT(1775000000,1000000)</f>
        <v>1775</v>
      </c>
      <c r="H2273" s="88">
        <f>QUOTIENT(0,1000000)</f>
        <v>0</v>
      </c>
    </row>
    <row r="2274" spans="1:8" ht="21.75" customHeight="1" x14ac:dyDescent="0.15">
      <c r="A2274" s="18" t="s">
        <v>2217</v>
      </c>
      <c r="B2274" s="17" t="s">
        <v>2218</v>
      </c>
      <c r="C2274" s="16">
        <v>3374</v>
      </c>
      <c r="D2274" s="80">
        <v>21040201</v>
      </c>
      <c r="E2274" s="80">
        <v>784000</v>
      </c>
      <c r="F2274" s="81">
        <v>9902172</v>
      </c>
      <c r="G2274" s="81">
        <v>7632829</v>
      </c>
      <c r="H2274" s="82">
        <v>2721200</v>
      </c>
    </row>
    <row r="2275" spans="1:8" ht="21.75" customHeight="1" x14ac:dyDescent="0.15">
      <c r="A2275" s="252" t="s">
        <v>2219</v>
      </c>
      <c r="B2275" s="12" t="s">
        <v>2220</v>
      </c>
      <c r="C2275" s="11">
        <v>5868</v>
      </c>
      <c r="D2275" s="89">
        <v>79148855</v>
      </c>
      <c r="E2275" s="89">
        <v>47831239</v>
      </c>
      <c r="F2275" s="90">
        <v>13321017</v>
      </c>
      <c r="G2275" s="90">
        <v>10949612</v>
      </c>
      <c r="H2275" s="91">
        <v>7046986</v>
      </c>
    </row>
    <row r="2276" spans="1:8" ht="21.75" customHeight="1" thickBot="1" x14ac:dyDescent="0.2">
      <c r="A2276" s="253"/>
      <c r="B2276" s="7" t="s">
        <v>2221</v>
      </c>
      <c r="C2276" s="6">
        <v>6737</v>
      </c>
      <c r="D2276" s="92" t="s">
        <v>2222</v>
      </c>
      <c r="E2276" s="92" t="s">
        <v>2222</v>
      </c>
      <c r="F2276" s="92" t="s">
        <v>2222</v>
      </c>
      <c r="G2276" s="92" t="s">
        <v>2222</v>
      </c>
      <c r="H2276" s="93" t="s">
        <v>2222</v>
      </c>
    </row>
    <row r="2277" spans="1:8" ht="12" x14ac:dyDescent="0.15">
      <c r="A2277" s="3" t="s">
        <v>2223</v>
      </c>
      <c r="B2277" s="2"/>
      <c r="C2277" s="2"/>
      <c r="D2277" s="2"/>
      <c r="E2277" s="2"/>
      <c r="F2277" s="2"/>
      <c r="G2277" s="2"/>
      <c r="H2277" s="2"/>
    </row>
    <row r="2278" spans="1:8" ht="18" customHeight="1" x14ac:dyDescent="0.15">
      <c r="A2278" s="3" t="s">
        <v>2587</v>
      </c>
      <c r="B2278" s="2"/>
      <c r="C2278" s="2"/>
      <c r="D2278" s="2"/>
      <c r="E2278" s="2"/>
      <c r="F2278" s="2"/>
      <c r="G2278" s="2"/>
      <c r="H2278" s="2"/>
    </row>
    <row r="2279" spans="1:8" ht="12" x14ac:dyDescent="0.15">
      <c r="A2279" s="3" t="s">
        <v>2224</v>
      </c>
      <c r="B2279" s="2"/>
      <c r="C2279" s="2"/>
      <c r="D2279" s="2"/>
      <c r="E2279" s="2"/>
      <c r="F2279" s="2"/>
      <c r="G2279" s="2"/>
      <c r="H2279" s="2"/>
    </row>
    <row r="2280" spans="1:8" ht="24" customHeight="1" x14ac:dyDescent="0.15">
      <c r="A2280" s="3" t="s">
        <v>2225</v>
      </c>
      <c r="B2280" s="2"/>
      <c r="C2280" s="2"/>
      <c r="D2280" s="2"/>
      <c r="E2280" s="2"/>
      <c r="F2280" s="2"/>
      <c r="G2280" s="2"/>
      <c r="H2280" s="2"/>
    </row>
    <row r="2281" spans="1:8" ht="24" customHeight="1" x14ac:dyDescent="0.15">
      <c r="A2281" s="230" t="s">
        <v>2170</v>
      </c>
      <c r="B2281" s="230"/>
      <c r="C2281" s="230"/>
      <c r="D2281" s="230"/>
      <c r="E2281" s="230"/>
      <c r="F2281" s="230"/>
      <c r="G2281" s="230"/>
      <c r="H2281" s="230"/>
    </row>
    <row r="2282" spans="1:8" ht="18" customHeight="1" x14ac:dyDescent="0.15">
      <c r="A2282" s="231"/>
      <c r="B2282" s="231"/>
      <c r="C2282" s="231"/>
      <c r="D2282" s="231"/>
      <c r="E2282" s="231"/>
      <c r="F2282" s="231"/>
      <c r="G2282" s="231"/>
      <c r="H2282" s="231"/>
    </row>
    <row r="2283" spans="1:8" s="60" customFormat="1" ht="18" customHeight="1" thickBot="1" x14ac:dyDescent="0.2">
      <c r="A2283" s="58" t="s">
        <v>48</v>
      </c>
      <c r="B2283" s="1"/>
      <c r="C2283" s="1"/>
      <c r="D2283" s="1"/>
      <c r="E2283" s="1"/>
      <c r="F2283" s="1"/>
      <c r="G2283" s="1"/>
      <c r="H2283" s="1"/>
    </row>
    <row r="2284" spans="1:8" ht="21.75" customHeight="1" x14ac:dyDescent="0.15">
      <c r="A2284" s="232" t="s">
        <v>2171</v>
      </c>
      <c r="B2284" s="235" t="s">
        <v>46</v>
      </c>
      <c r="C2284" s="238" t="s">
        <v>2172</v>
      </c>
      <c r="D2284" s="241" t="s">
        <v>44</v>
      </c>
      <c r="E2284" s="57"/>
      <c r="F2284" s="56"/>
      <c r="G2284" s="56"/>
      <c r="H2284" s="55"/>
    </row>
    <row r="2285" spans="1:8" ht="21.75" customHeight="1" x14ac:dyDescent="0.15">
      <c r="A2285" s="233"/>
      <c r="B2285" s="236"/>
      <c r="C2285" s="239"/>
      <c r="D2285" s="242"/>
      <c r="E2285" s="244" t="s">
        <v>2173</v>
      </c>
      <c r="F2285" s="246" t="s">
        <v>42</v>
      </c>
      <c r="G2285" s="246" t="s">
        <v>41</v>
      </c>
      <c r="H2285" s="248" t="s">
        <v>2174</v>
      </c>
    </row>
    <row r="2286" spans="1:8" ht="21.75" customHeight="1" thickBot="1" x14ac:dyDescent="0.2">
      <c r="A2286" s="234"/>
      <c r="B2286" s="237"/>
      <c r="C2286" s="240"/>
      <c r="D2286" s="243"/>
      <c r="E2286" s="245"/>
      <c r="F2286" s="247"/>
      <c r="G2286" s="247"/>
      <c r="H2286" s="249"/>
    </row>
    <row r="2287" spans="1:8" ht="21.75" customHeight="1" thickTop="1" x14ac:dyDescent="0.15">
      <c r="A2287" s="54"/>
      <c r="B2287" s="53"/>
      <c r="C2287" s="52"/>
      <c r="D2287" s="51" t="s">
        <v>2175</v>
      </c>
      <c r="E2287" s="50" t="s">
        <v>2175</v>
      </c>
      <c r="F2287" s="49" t="s">
        <v>39</v>
      </c>
      <c r="G2287" s="49" t="s">
        <v>2175</v>
      </c>
      <c r="H2287" s="48" t="s">
        <v>39</v>
      </c>
    </row>
    <row r="2288" spans="1:8" ht="21.75" customHeight="1" x14ac:dyDescent="0.15">
      <c r="A2288" s="250" t="s">
        <v>2176</v>
      </c>
      <c r="B2288" s="61" t="s">
        <v>2177</v>
      </c>
      <c r="C2288" s="62">
        <v>3792</v>
      </c>
      <c r="D2288" s="63">
        <f>QUOTIENT(657957659267897,1000000)</f>
        <v>657957659</v>
      </c>
      <c r="E2288" s="63">
        <f>QUOTIENT(247922354833736,1000000)</f>
        <v>247922354</v>
      </c>
      <c r="F2288" s="64">
        <f>QUOTIENT(202154886068911,1000000)</f>
        <v>202154886</v>
      </c>
      <c r="G2288" s="64">
        <f>QUOTIENT(204150768105099,1000000)</f>
        <v>204150768</v>
      </c>
      <c r="H2288" s="65">
        <f>QUOTIENT(3729650260150,1000000)</f>
        <v>3729650</v>
      </c>
    </row>
    <row r="2289" spans="1:8" ht="21.75" customHeight="1" x14ac:dyDescent="0.15">
      <c r="A2289" s="250"/>
      <c r="B2289" s="66" t="s">
        <v>36</v>
      </c>
      <c r="C2289" s="67">
        <v>24</v>
      </c>
      <c r="D2289" s="68">
        <f>QUOTIENT(270991687500,1000000)</f>
        <v>270991</v>
      </c>
      <c r="E2289" s="68">
        <f>QUOTIENT(67274623000,1000000)</f>
        <v>67274</v>
      </c>
      <c r="F2289" s="69">
        <f>QUOTIENT(183476116500,1000000)</f>
        <v>183476</v>
      </c>
      <c r="G2289" s="69">
        <f>QUOTIENT(20240948000,1000000)</f>
        <v>20240</v>
      </c>
      <c r="H2289" s="70">
        <f>QUOTIENT(0,1000000)</f>
        <v>0</v>
      </c>
    </row>
    <row r="2290" spans="1:8" ht="21.75" customHeight="1" x14ac:dyDescent="0.15">
      <c r="A2290" s="250"/>
      <c r="B2290" s="66" t="s">
        <v>35</v>
      </c>
      <c r="C2290" s="67">
        <v>101</v>
      </c>
      <c r="D2290" s="68">
        <f>QUOTIENT(0,1000000)</f>
        <v>0</v>
      </c>
      <c r="E2290" s="68">
        <f>QUOTIENT(0,1000000)</f>
        <v>0</v>
      </c>
      <c r="F2290" s="69">
        <f>QUOTIENT(0,1000000)</f>
        <v>0</v>
      </c>
      <c r="G2290" s="69">
        <f>QUOTIENT(0,1000000)</f>
        <v>0</v>
      </c>
      <c r="H2290" s="70">
        <f>QUOTIENT(0,1000000)</f>
        <v>0</v>
      </c>
    </row>
    <row r="2291" spans="1:8" ht="21.75" customHeight="1" x14ac:dyDescent="0.15">
      <c r="A2291" s="250"/>
      <c r="B2291" s="71" t="s">
        <v>34</v>
      </c>
      <c r="C2291" s="72">
        <v>1</v>
      </c>
      <c r="D2291" s="73">
        <f>QUOTIENT(169760813400,1000000)</f>
        <v>169760</v>
      </c>
      <c r="E2291" s="73">
        <f>QUOTIENT(127181224500,1000000)</f>
        <v>127181</v>
      </c>
      <c r="F2291" s="74">
        <f>QUOTIENT(8333410200,1000000)</f>
        <v>8333</v>
      </c>
      <c r="G2291" s="74">
        <f>QUOTIENT(31005674400,1000000)</f>
        <v>31005</v>
      </c>
      <c r="H2291" s="75">
        <f>QUOTIENT(3240504300,1000000)</f>
        <v>3240</v>
      </c>
    </row>
    <row r="2292" spans="1:8" ht="21.75" customHeight="1" x14ac:dyDescent="0.15">
      <c r="A2292" s="250"/>
      <c r="B2292" s="66" t="s">
        <v>33</v>
      </c>
      <c r="C2292" s="67">
        <v>69</v>
      </c>
      <c r="D2292" s="68">
        <f>QUOTIENT(17138679549660,1000000)</f>
        <v>17138679</v>
      </c>
      <c r="E2292" s="68">
        <f>QUOTIENT(4366336725900,1000000)</f>
        <v>4366336</v>
      </c>
      <c r="F2292" s="69">
        <f>QUOTIENT(4996427329960,1000000)</f>
        <v>4996427</v>
      </c>
      <c r="G2292" s="69">
        <f>QUOTIENT(7660138095280,1000000)</f>
        <v>7660138</v>
      </c>
      <c r="H2292" s="70">
        <f>QUOTIENT(115777398520,1000000)</f>
        <v>115777</v>
      </c>
    </row>
    <row r="2293" spans="1:8" ht="21.75" customHeight="1" x14ac:dyDescent="0.15">
      <c r="A2293" s="250"/>
      <c r="B2293" s="76" t="s">
        <v>32</v>
      </c>
      <c r="C2293" s="67">
        <v>195</v>
      </c>
      <c r="D2293" s="68">
        <f>QUOTIENT(42085467991703,1000000)</f>
        <v>42085467</v>
      </c>
      <c r="E2293" s="68">
        <f>QUOTIENT(3845798558626,1000000)</f>
        <v>3845798</v>
      </c>
      <c r="F2293" s="69">
        <f>QUOTIENT(1320573859200,1000000)</f>
        <v>1320573</v>
      </c>
      <c r="G2293" s="69">
        <f>QUOTIENT(36880791167606,1000000)</f>
        <v>36880791</v>
      </c>
      <c r="H2293" s="70">
        <f>QUOTIENT(38304406271,1000000)</f>
        <v>38304</v>
      </c>
    </row>
    <row r="2294" spans="1:8" ht="21.75" customHeight="1" x14ac:dyDescent="0.15">
      <c r="A2294" s="251"/>
      <c r="B2294" s="77" t="s">
        <v>31</v>
      </c>
      <c r="C2294" s="72">
        <v>41</v>
      </c>
      <c r="D2294" s="73">
        <f>QUOTIENT(229530099532,1000000)</f>
        <v>229530</v>
      </c>
      <c r="E2294" s="73">
        <f>QUOTIENT(194930393716,1000000)</f>
        <v>194930</v>
      </c>
      <c r="F2294" s="74">
        <f>QUOTIENT(4111677745,1000000)</f>
        <v>4111</v>
      </c>
      <c r="G2294" s="74">
        <f>QUOTIENT(30155951370,1000000)</f>
        <v>30155</v>
      </c>
      <c r="H2294" s="75">
        <f>QUOTIENT(332076701,1000000)</f>
        <v>332</v>
      </c>
    </row>
    <row r="2295" spans="1:8" ht="21.75" customHeight="1" x14ac:dyDescent="0.15">
      <c r="A2295" s="30" t="s">
        <v>30</v>
      </c>
      <c r="B2295" s="78" t="s">
        <v>29</v>
      </c>
      <c r="C2295" s="79">
        <v>28</v>
      </c>
      <c r="D2295" s="80">
        <f>QUOTIENT(76937862319,1000000)</f>
        <v>76937</v>
      </c>
      <c r="E2295" s="80">
        <f>QUOTIENT(74356683345,1000000)</f>
        <v>74356</v>
      </c>
      <c r="F2295" s="81">
        <f>QUOTIENT(976527806,1000000)</f>
        <v>976</v>
      </c>
      <c r="G2295" s="81">
        <f>QUOTIENT(604078000,1000000)</f>
        <v>604</v>
      </c>
      <c r="H2295" s="82">
        <f>QUOTIENT(1000573168,1000000)</f>
        <v>1000</v>
      </c>
    </row>
    <row r="2296" spans="1:8" ht="21.75" customHeight="1" x14ac:dyDescent="0.15">
      <c r="A2296" s="252" t="s">
        <v>28</v>
      </c>
      <c r="B2296" s="17" t="s">
        <v>27</v>
      </c>
      <c r="C2296" s="16">
        <v>3218</v>
      </c>
      <c r="D2296" s="83">
        <f>QUOTIENT(62262752770000,1000000)</f>
        <v>62262752</v>
      </c>
      <c r="E2296" s="83">
        <f>QUOTIENT(9700914560000,1000000)</f>
        <v>9700914</v>
      </c>
      <c r="F2296" s="84">
        <f>QUOTIENT(13650862300000,1000000)</f>
        <v>13650862</v>
      </c>
      <c r="G2296" s="84">
        <f>QUOTIENT(31035550860000,1000000)</f>
        <v>31035550</v>
      </c>
      <c r="H2296" s="85">
        <f>QUOTIENT(7875425050000,1000000)</f>
        <v>7875425</v>
      </c>
    </row>
    <row r="2297" spans="1:8" ht="21.75" customHeight="1" x14ac:dyDescent="0.15">
      <c r="A2297" s="250"/>
      <c r="B2297" s="23" t="s">
        <v>26</v>
      </c>
      <c r="C2297" s="22">
        <v>3331</v>
      </c>
      <c r="D2297" s="86">
        <f>QUOTIENT(14515286951000,1000000)</f>
        <v>14515286</v>
      </c>
      <c r="E2297" s="86">
        <f>QUOTIENT(632320130000,1000000)</f>
        <v>632320</v>
      </c>
      <c r="F2297" s="87">
        <f>QUOTIENT(5087757727000,1000000)</f>
        <v>5087757</v>
      </c>
      <c r="G2297" s="87">
        <f>QUOTIENT(7173671804000,1000000)</f>
        <v>7173671</v>
      </c>
      <c r="H2297" s="88">
        <f>QUOTIENT(1621537290000,1000000)</f>
        <v>1621537</v>
      </c>
    </row>
    <row r="2298" spans="1:8" ht="21.75" customHeight="1" x14ac:dyDescent="0.15">
      <c r="A2298" s="250"/>
      <c r="B2298" s="24" t="s">
        <v>25</v>
      </c>
      <c r="C2298" s="22">
        <v>631</v>
      </c>
      <c r="D2298" s="86">
        <f>QUOTIENT(29129970000000,1000000)</f>
        <v>29129970</v>
      </c>
      <c r="E2298" s="86">
        <f>QUOTIENT(2098785100000,1000000)</f>
        <v>2098785</v>
      </c>
      <c r="F2298" s="87">
        <f>QUOTIENT(9687386000000,1000000)</f>
        <v>9687386</v>
      </c>
      <c r="G2298" s="87">
        <f>QUOTIENT(13372402600000,1000000)</f>
        <v>13372402</v>
      </c>
      <c r="H2298" s="88">
        <f>QUOTIENT(3971396300000,1000000)</f>
        <v>3971396</v>
      </c>
    </row>
    <row r="2299" spans="1:8" ht="21.75" customHeight="1" x14ac:dyDescent="0.15">
      <c r="A2299" s="250"/>
      <c r="B2299" s="23" t="s">
        <v>24</v>
      </c>
      <c r="C2299" s="22">
        <v>1821</v>
      </c>
      <c r="D2299" s="86">
        <f>QUOTIENT(52670900000000,1000000)</f>
        <v>52670900</v>
      </c>
      <c r="E2299" s="86">
        <f>QUOTIENT(5392679500000,1000000)</f>
        <v>5392679</v>
      </c>
      <c r="F2299" s="87">
        <f>QUOTIENT(11322134000000,1000000)</f>
        <v>11322134</v>
      </c>
      <c r="G2299" s="87">
        <f>QUOTIENT(31703997500000,1000000)</f>
        <v>31703997</v>
      </c>
      <c r="H2299" s="88">
        <f>QUOTIENT(4252089000000,1000000)</f>
        <v>4252089</v>
      </c>
    </row>
    <row r="2300" spans="1:8" ht="21.75" customHeight="1" x14ac:dyDescent="0.15">
      <c r="A2300" s="250"/>
      <c r="B2300" s="23" t="s">
        <v>23</v>
      </c>
      <c r="C2300" s="22">
        <v>391</v>
      </c>
      <c r="D2300" s="86">
        <f>QUOTIENT(4804363000000,1000000)</f>
        <v>4804363</v>
      </c>
      <c r="E2300" s="86">
        <f>QUOTIENT(354271900000,1000000)</f>
        <v>354271</v>
      </c>
      <c r="F2300" s="87">
        <f>QUOTIENT(71798400000,1000000)</f>
        <v>71798</v>
      </c>
      <c r="G2300" s="87">
        <f>QUOTIENT(4339753700000,1000000)</f>
        <v>4339753</v>
      </c>
      <c r="H2300" s="88">
        <f>QUOTIENT(38539000000,1000000)</f>
        <v>38539</v>
      </c>
    </row>
    <row r="2301" spans="1:8" ht="21.75" customHeight="1" x14ac:dyDescent="0.15">
      <c r="A2301" s="250"/>
      <c r="B2301" s="23" t="s">
        <v>22</v>
      </c>
      <c r="C2301" s="22">
        <v>137</v>
      </c>
      <c r="D2301" s="86">
        <f>QUOTIENT(1197800000000,1000000)</f>
        <v>1197800</v>
      </c>
      <c r="E2301" s="86">
        <f>QUOTIENT(287070000000,1000000)</f>
        <v>287070</v>
      </c>
      <c r="F2301" s="87">
        <f>QUOTIENT(95500000000,1000000)</f>
        <v>95500</v>
      </c>
      <c r="G2301" s="87">
        <f>QUOTIENT(525130000000,1000000)</f>
        <v>525130</v>
      </c>
      <c r="H2301" s="88">
        <f>QUOTIENT(290100000000,1000000)</f>
        <v>290100</v>
      </c>
    </row>
    <row r="2302" spans="1:8" ht="21.75" customHeight="1" x14ac:dyDescent="0.15">
      <c r="A2302" s="250"/>
      <c r="B2302" s="23" t="s">
        <v>21</v>
      </c>
      <c r="C2302" s="22">
        <v>26</v>
      </c>
      <c r="D2302" s="86">
        <f>QUOTIENT(189221000000,1000000)</f>
        <v>189221</v>
      </c>
      <c r="E2302" s="86">
        <f>QUOTIENT(116614000000,1000000)</f>
        <v>116614</v>
      </c>
      <c r="F2302" s="87">
        <f>QUOTIENT(12097000000,1000000)</f>
        <v>12097</v>
      </c>
      <c r="G2302" s="87">
        <f>QUOTIENT(26359000000,1000000)</f>
        <v>26359</v>
      </c>
      <c r="H2302" s="88">
        <f>QUOTIENT(34151000000,1000000)</f>
        <v>34151</v>
      </c>
    </row>
    <row r="2303" spans="1:8" ht="21.75" customHeight="1" x14ac:dyDescent="0.15">
      <c r="A2303" s="250"/>
      <c r="B2303" s="23" t="s">
        <v>20</v>
      </c>
      <c r="C2303" s="22">
        <v>0</v>
      </c>
      <c r="D2303" s="86">
        <f>QUOTIENT(0,1000000)</f>
        <v>0</v>
      </c>
      <c r="E2303" s="86">
        <f>QUOTIENT(0,1000000)</f>
        <v>0</v>
      </c>
      <c r="F2303" s="87">
        <f>QUOTIENT(0,1000000)</f>
        <v>0</v>
      </c>
      <c r="G2303" s="87">
        <f>QUOTIENT(0,1000000)</f>
        <v>0</v>
      </c>
      <c r="H2303" s="88">
        <f>QUOTIENT(0,1000000)</f>
        <v>0</v>
      </c>
    </row>
    <row r="2304" spans="1:8" ht="21.75" customHeight="1" x14ac:dyDescent="0.15">
      <c r="A2304" s="250"/>
      <c r="B2304" s="23" t="s">
        <v>19</v>
      </c>
      <c r="C2304" s="22">
        <v>239</v>
      </c>
      <c r="D2304" s="86">
        <f>QUOTIENT(7481190000000,1000000)</f>
        <v>7481190</v>
      </c>
      <c r="E2304" s="86">
        <f>QUOTIENT(651550000000,1000000)</f>
        <v>651550</v>
      </c>
      <c r="F2304" s="87">
        <f>QUOTIENT(2811570000000,1000000)</f>
        <v>2811570</v>
      </c>
      <c r="G2304" s="87">
        <f>QUOTIENT(3019810000000,1000000)</f>
        <v>3019810</v>
      </c>
      <c r="H2304" s="88">
        <f>QUOTIENT(998260000000,1000000)</f>
        <v>998260</v>
      </c>
    </row>
    <row r="2305" spans="1:8" ht="21.75" customHeight="1" x14ac:dyDescent="0.15">
      <c r="A2305" s="250"/>
      <c r="B2305" s="23" t="s">
        <v>18</v>
      </c>
      <c r="C2305" s="22">
        <v>3483</v>
      </c>
      <c r="D2305" s="86">
        <f>QUOTIENT(68353411000000,1000000)</f>
        <v>68353411</v>
      </c>
      <c r="E2305" s="86">
        <f>QUOTIENT(16288402300000,1000000)</f>
        <v>16288402</v>
      </c>
      <c r="F2305" s="87">
        <f>QUOTIENT(10676962100000,1000000)</f>
        <v>10676962</v>
      </c>
      <c r="G2305" s="87">
        <f>QUOTIENT(33037376400000,1000000)</f>
        <v>33037376</v>
      </c>
      <c r="H2305" s="88">
        <f>QUOTIENT(8350670200000,1000000)</f>
        <v>8350670</v>
      </c>
    </row>
    <row r="2306" spans="1:8" ht="21.75" customHeight="1" x14ac:dyDescent="0.15">
      <c r="A2306" s="250"/>
      <c r="B2306" s="23" t="s">
        <v>17</v>
      </c>
      <c r="C2306" s="22">
        <v>646</v>
      </c>
      <c r="D2306" s="86">
        <f>QUOTIENT(15455360000000,1000000)</f>
        <v>15455360</v>
      </c>
      <c r="E2306" s="86">
        <f>QUOTIENT(3098068000000,1000000)</f>
        <v>3098068</v>
      </c>
      <c r="F2306" s="87">
        <f>QUOTIENT(2799824100000,1000000)</f>
        <v>2799824</v>
      </c>
      <c r="G2306" s="87">
        <f>QUOTIENT(7956701100000,1000000)</f>
        <v>7956701</v>
      </c>
      <c r="H2306" s="88">
        <f>QUOTIENT(1600766800000,1000000)</f>
        <v>1600766</v>
      </c>
    </row>
    <row r="2307" spans="1:8" ht="21.75" customHeight="1" x14ac:dyDescent="0.15">
      <c r="A2307" s="250"/>
      <c r="B2307" s="23" t="s">
        <v>16</v>
      </c>
      <c r="C2307" s="22">
        <v>57659</v>
      </c>
      <c r="D2307" s="86">
        <f>QUOTIENT(13283111738000,1000000)</f>
        <v>13283111</v>
      </c>
      <c r="E2307" s="86">
        <f>QUOTIENT(1135048700000,1000000)</f>
        <v>1135048</v>
      </c>
      <c r="F2307" s="87">
        <f>QUOTIENT(5118956444000,1000000)</f>
        <v>5118956</v>
      </c>
      <c r="G2307" s="87">
        <f>QUOTIENT(6649861594000,1000000)</f>
        <v>6649861</v>
      </c>
      <c r="H2307" s="88">
        <f>QUOTIENT(379245000000,1000000)</f>
        <v>379245</v>
      </c>
    </row>
    <row r="2308" spans="1:8" ht="21.75" customHeight="1" x14ac:dyDescent="0.15">
      <c r="A2308" s="250"/>
      <c r="B2308" s="23" t="s">
        <v>15</v>
      </c>
      <c r="C2308" s="22">
        <v>314</v>
      </c>
      <c r="D2308" s="86">
        <f>QUOTIENT(893898488000,1000000)</f>
        <v>893898</v>
      </c>
      <c r="E2308" s="86">
        <f>QUOTIENT(103021100000,1000000)</f>
        <v>103021</v>
      </c>
      <c r="F2308" s="87">
        <f>QUOTIENT(551089744000,1000000)</f>
        <v>551089</v>
      </c>
      <c r="G2308" s="87">
        <f>QUOTIENT(239787644000,1000000)</f>
        <v>239787</v>
      </c>
      <c r="H2308" s="88">
        <f>QUOTIENT(0,1000000)</f>
        <v>0</v>
      </c>
    </row>
    <row r="2309" spans="1:8" ht="21.75" customHeight="1" x14ac:dyDescent="0.15">
      <c r="A2309" s="250"/>
      <c r="B2309" s="23" t="s">
        <v>14</v>
      </c>
      <c r="C2309" s="22">
        <v>45</v>
      </c>
      <c r="D2309" s="86">
        <f>QUOTIENT(229800000000,1000000)</f>
        <v>229800</v>
      </c>
      <c r="E2309" s="86">
        <f>QUOTIENT(100719000000,1000000)</f>
        <v>100719</v>
      </c>
      <c r="F2309" s="87">
        <f>QUOTIENT(18900000000,1000000)</f>
        <v>18900</v>
      </c>
      <c r="G2309" s="87">
        <f>QUOTIENT(79779000000,1000000)</f>
        <v>79779</v>
      </c>
      <c r="H2309" s="88">
        <f>QUOTIENT(30402000000,1000000)</f>
        <v>30402</v>
      </c>
    </row>
    <row r="2310" spans="1:8" ht="21.75" customHeight="1" x14ac:dyDescent="0.15">
      <c r="A2310" s="250"/>
      <c r="B2310" s="23" t="s">
        <v>13</v>
      </c>
      <c r="C2310" s="22">
        <v>528</v>
      </c>
      <c r="D2310" s="86">
        <f>QUOTIENT(2614807177000,1000000)</f>
        <v>2614807</v>
      </c>
      <c r="E2310" s="86">
        <f>QUOTIENT(196723930000,1000000)</f>
        <v>196723</v>
      </c>
      <c r="F2310" s="87">
        <f>QUOTIENT(1264872747000,1000000)</f>
        <v>1264872</v>
      </c>
      <c r="G2310" s="87">
        <f>QUOTIENT(1076315500000,1000000)</f>
        <v>1076315</v>
      </c>
      <c r="H2310" s="88">
        <f>QUOTIENT(76895000000,1000000)</f>
        <v>76895</v>
      </c>
    </row>
    <row r="2311" spans="1:8" ht="21.75" customHeight="1" x14ac:dyDescent="0.15">
      <c r="A2311" s="250"/>
      <c r="B2311" s="23" t="s">
        <v>12</v>
      </c>
      <c r="C2311" s="22">
        <v>301</v>
      </c>
      <c r="D2311" s="86">
        <f>QUOTIENT(8819000000000,1000000)</f>
        <v>8819000</v>
      </c>
      <c r="E2311" s="86">
        <f>QUOTIENT(949190000000,1000000)</f>
        <v>949190</v>
      </c>
      <c r="F2311" s="87">
        <f>QUOTIENT(1914200000000,1000000)</f>
        <v>1914200</v>
      </c>
      <c r="G2311" s="87">
        <f>QUOTIENT(5125380000000,1000000)</f>
        <v>5125380</v>
      </c>
      <c r="H2311" s="88">
        <f>QUOTIENT(830230000000,1000000)</f>
        <v>830230</v>
      </c>
    </row>
    <row r="2312" spans="1:8" ht="21.75" customHeight="1" x14ac:dyDescent="0.15">
      <c r="A2312" s="250"/>
      <c r="B2312" s="23" t="s">
        <v>11</v>
      </c>
      <c r="C2312" s="22">
        <v>75</v>
      </c>
      <c r="D2312" s="86">
        <f>QUOTIENT(2300450000000,1000000)</f>
        <v>2300450</v>
      </c>
      <c r="E2312" s="86">
        <f>QUOTIENT(189900000000,1000000)</f>
        <v>189900</v>
      </c>
      <c r="F2312" s="87">
        <f>QUOTIENT(789850000000,1000000)</f>
        <v>789850</v>
      </c>
      <c r="G2312" s="87">
        <f>QUOTIENT(1088900000000,1000000)</f>
        <v>1088900</v>
      </c>
      <c r="H2312" s="88">
        <f>QUOTIENT(231800000000,1000000)</f>
        <v>231800</v>
      </c>
    </row>
    <row r="2313" spans="1:8" ht="21.75" customHeight="1" x14ac:dyDescent="0.15">
      <c r="A2313" s="250"/>
      <c r="B2313" s="23" t="s">
        <v>10</v>
      </c>
      <c r="C2313" s="22">
        <v>0</v>
      </c>
      <c r="D2313" s="86">
        <f t="shared" ref="D2313:H2315" si="57">QUOTIENT(0,1000000)</f>
        <v>0</v>
      </c>
      <c r="E2313" s="86">
        <f t="shared" si="57"/>
        <v>0</v>
      </c>
      <c r="F2313" s="87">
        <f t="shared" si="57"/>
        <v>0</v>
      </c>
      <c r="G2313" s="87">
        <f t="shared" si="57"/>
        <v>0</v>
      </c>
      <c r="H2313" s="88">
        <f t="shared" si="57"/>
        <v>0</v>
      </c>
    </row>
    <row r="2314" spans="1:8" ht="21.75" customHeight="1" x14ac:dyDescent="0.15">
      <c r="A2314" s="250"/>
      <c r="B2314" s="23" t="s">
        <v>9</v>
      </c>
      <c r="C2314" s="22">
        <v>0</v>
      </c>
      <c r="D2314" s="86">
        <f t="shared" si="57"/>
        <v>0</v>
      </c>
      <c r="E2314" s="86">
        <f t="shared" si="57"/>
        <v>0</v>
      </c>
      <c r="F2314" s="87">
        <f t="shared" si="57"/>
        <v>0</v>
      </c>
      <c r="G2314" s="87">
        <f t="shared" si="57"/>
        <v>0</v>
      </c>
      <c r="H2314" s="88">
        <f t="shared" si="57"/>
        <v>0</v>
      </c>
    </row>
    <row r="2315" spans="1:8" ht="21.75" customHeight="1" x14ac:dyDescent="0.15">
      <c r="A2315" s="250"/>
      <c r="B2315" s="23" t="s">
        <v>8</v>
      </c>
      <c r="C2315" s="22">
        <v>0</v>
      </c>
      <c r="D2315" s="86">
        <f t="shared" si="57"/>
        <v>0</v>
      </c>
      <c r="E2315" s="86">
        <f t="shared" si="57"/>
        <v>0</v>
      </c>
      <c r="F2315" s="87">
        <f t="shared" si="57"/>
        <v>0</v>
      </c>
      <c r="G2315" s="87">
        <f t="shared" si="57"/>
        <v>0</v>
      </c>
      <c r="H2315" s="88">
        <f t="shared" si="57"/>
        <v>0</v>
      </c>
    </row>
    <row r="2316" spans="1:8" ht="21.75" customHeight="1" x14ac:dyDescent="0.15">
      <c r="A2316" s="251"/>
      <c r="B2316" s="23" t="s">
        <v>7</v>
      </c>
      <c r="C2316" s="22">
        <v>24</v>
      </c>
      <c r="D2316" s="86">
        <f>QUOTIENT(16241900000,1000000)</f>
        <v>16241</v>
      </c>
      <c r="E2316" s="86">
        <f>QUOTIENT(466900000,1000000)</f>
        <v>466</v>
      </c>
      <c r="F2316" s="87">
        <f>QUOTIENT(14000000000,1000000)</f>
        <v>14000</v>
      </c>
      <c r="G2316" s="87">
        <f>QUOTIENT(1775000000,1000000)</f>
        <v>1775</v>
      </c>
      <c r="H2316" s="88">
        <f>QUOTIENT(0,1000000)</f>
        <v>0</v>
      </c>
    </row>
    <row r="2317" spans="1:8" ht="21.75" customHeight="1" x14ac:dyDescent="0.15">
      <c r="A2317" s="18" t="s">
        <v>6</v>
      </c>
      <c r="B2317" s="17" t="s">
        <v>5</v>
      </c>
      <c r="C2317" s="16">
        <v>3317</v>
      </c>
      <c r="D2317" s="80">
        <v>19810656</v>
      </c>
      <c r="E2317" s="80">
        <v>779500</v>
      </c>
      <c r="F2317" s="81">
        <v>9003572</v>
      </c>
      <c r="G2317" s="81">
        <v>7280484</v>
      </c>
      <c r="H2317" s="82">
        <v>2747100</v>
      </c>
    </row>
    <row r="2318" spans="1:8" ht="21.75" customHeight="1" x14ac:dyDescent="0.15">
      <c r="A2318" s="252" t="s">
        <v>4</v>
      </c>
      <c r="B2318" s="12" t="s">
        <v>3</v>
      </c>
      <c r="C2318" s="11">
        <v>5860</v>
      </c>
      <c r="D2318" s="89">
        <v>78157038</v>
      </c>
      <c r="E2318" s="89">
        <v>46848439</v>
      </c>
      <c r="F2318" s="90">
        <v>13324496</v>
      </c>
      <c r="G2318" s="90">
        <v>11011569</v>
      </c>
      <c r="H2318" s="91">
        <v>6972534</v>
      </c>
    </row>
    <row r="2319" spans="1:8" ht="21.75" customHeight="1" thickBot="1" x14ac:dyDescent="0.2">
      <c r="A2319" s="253"/>
      <c r="B2319" s="7" t="s">
        <v>1153</v>
      </c>
      <c r="C2319" s="6">
        <v>6644</v>
      </c>
      <c r="D2319" s="92" t="s">
        <v>2178</v>
      </c>
      <c r="E2319" s="92" t="s">
        <v>2178</v>
      </c>
      <c r="F2319" s="92" t="s">
        <v>2178</v>
      </c>
      <c r="G2319" s="92" t="s">
        <v>2178</v>
      </c>
      <c r="H2319" s="93" t="s">
        <v>2178</v>
      </c>
    </row>
    <row r="2320" spans="1:8" ht="24" customHeight="1" x14ac:dyDescent="0.15">
      <c r="A2320" s="3" t="s">
        <v>1155</v>
      </c>
      <c r="B2320" s="2"/>
      <c r="C2320" s="2"/>
      <c r="D2320" s="2"/>
      <c r="E2320" s="2"/>
      <c r="F2320" s="2"/>
      <c r="G2320" s="2"/>
      <c r="H2320" s="2"/>
    </row>
    <row r="2321" spans="1:8" ht="18" customHeight="1" x14ac:dyDescent="0.15">
      <c r="A2321" s="3" t="s">
        <v>2587</v>
      </c>
      <c r="B2321" s="2"/>
      <c r="C2321" s="2"/>
      <c r="D2321" s="2"/>
      <c r="E2321" s="2"/>
      <c r="F2321" s="2"/>
      <c r="G2321" s="2"/>
      <c r="H2321" s="2"/>
    </row>
    <row r="2322" spans="1:8" ht="18" customHeight="1" x14ac:dyDescent="0.15">
      <c r="A2322" s="3" t="s">
        <v>1156</v>
      </c>
      <c r="B2322" s="2"/>
      <c r="C2322" s="2"/>
      <c r="D2322" s="2"/>
      <c r="E2322" s="2"/>
      <c r="F2322" s="2"/>
      <c r="G2322" s="2"/>
      <c r="H2322" s="2"/>
    </row>
    <row r="2323" spans="1:8" s="60" customFormat="1" ht="14.25" x14ac:dyDescent="0.15">
      <c r="A2323" s="3" t="s">
        <v>2179</v>
      </c>
      <c r="B2323" s="2"/>
      <c r="C2323" s="2"/>
      <c r="D2323" s="2"/>
      <c r="E2323" s="2"/>
      <c r="F2323" s="2"/>
      <c r="G2323" s="2"/>
      <c r="H2323" s="2"/>
    </row>
    <row r="2324" spans="1:8" ht="24" customHeight="1" x14ac:dyDescent="0.15">
      <c r="A2324" s="230" t="s">
        <v>2134</v>
      </c>
      <c r="B2324" s="230"/>
      <c r="C2324" s="230"/>
      <c r="D2324" s="230"/>
      <c r="E2324" s="230"/>
      <c r="F2324" s="230"/>
      <c r="G2324" s="230"/>
      <c r="H2324" s="230"/>
    </row>
    <row r="2325" spans="1:8" ht="21.75" customHeight="1" x14ac:dyDescent="0.15">
      <c r="A2325" s="231"/>
      <c r="B2325" s="231"/>
      <c r="C2325" s="231"/>
      <c r="D2325" s="231"/>
      <c r="E2325" s="231"/>
      <c r="F2325" s="231"/>
      <c r="G2325" s="231"/>
      <c r="H2325" s="231"/>
    </row>
    <row r="2326" spans="1:8" ht="21.75" customHeight="1" thickBot="1" x14ac:dyDescent="0.2">
      <c r="A2326" s="58" t="s">
        <v>48</v>
      </c>
    </row>
    <row r="2327" spans="1:8" ht="21.75" customHeight="1" x14ac:dyDescent="0.15">
      <c r="A2327" s="232" t="s">
        <v>2135</v>
      </c>
      <c r="B2327" s="235" t="s">
        <v>2136</v>
      </c>
      <c r="C2327" s="238" t="s">
        <v>2137</v>
      </c>
      <c r="D2327" s="241" t="s">
        <v>2138</v>
      </c>
      <c r="E2327" s="57"/>
      <c r="F2327" s="56"/>
      <c r="G2327" s="56"/>
      <c r="H2327" s="55"/>
    </row>
    <row r="2328" spans="1:8" ht="21.75" customHeight="1" x14ac:dyDescent="0.15">
      <c r="A2328" s="233"/>
      <c r="B2328" s="236"/>
      <c r="C2328" s="239"/>
      <c r="D2328" s="242"/>
      <c r="E2328" s="244" t="s">
        <v>2139</v>
      </c>
      <c r="F2328" s="246" t="s">
        <v>2140</v>
      </c>
      <c r="G2328" s="246" t="s">
        <v>2141</v>
      </c>
      <c r="H2328" s="248" t="s">
        <v>2142</v>
      </c>
    </row>
    <row r="2329" spans="1:8" ht="21.75" customHeight="1" thickBot="1" x14ac:dyDescent="0.2">
      <c r="A2329" s="234"/>
      <c r="B2329" s="237"/>
      <c r="C2329" s="240"/>
      <c r="D2329" s="243"/>
      <c r="E2329" s="245"/>
      <c r="F2329" s="247"/>
      <c r="G2329" s="247"/>
      <c r="H2329" s="249"/>
    </row>
    <row r="2330" spans="1:8" ht="21.75" customHeight="1" thickTop="1" x14ac:dyDescent="0.15">
      <c r="A2330" s="54"/>
      <c r="B2330" s="53"/>
      <c r="C2330" s="52"/>
      <c r="D2330" s="51" t="s">
        <v>2123</v>
      </c>
      <c r="E2330" s="50" t="s">
        <v>39</v>
      </c>
      <c r="F2330" s="49" t="s">
        <v>2131</v>
      </c>
      <c r="G2330" s="49" t="s">
        <v>39</v>
      </c>
      <c r="H2330" s="48" t="s">
        <v>2131</v>
      </c>
    </row>
    <row r="2331" spans="1:8" ht="21.75" customHeight="1" x14ac:dyDescent="0.15">
      <c r="A2331" s="250" t="s">
        <v>38</v>
      </c>
      <c r="B2331" s="61" t="s">
        <v>2124</v>
      </c>
      <c r="C2331" s="62">
        <v>3782</v>
      </c>
      <c r="D2331" s="63">
        <f>QUOTIENT(627227275096465,1000000)</f>
        <v>627227275</v>
      </c>
      <c r="E2331" s="63">
        <f>QUOTIENT(243670362278220,1000000)</f>
        <v>243670362</v>
      </c>
      <c r="F2331" s="64">
        <f>QUOTIENT(184586668889711,1000000)</f>
        <v>184586668</v>
      </c>
      <c r="G2331" s="64">
        <f>QUOTIENT(195145402918737,1000000)</f>
        <v>195145402</v>
      </c>
      <c r="H2331" s="65">
        <f>QUOTIENT(3824841009795,1000000)</f>
        <v>3824841</v>
      </c>
    </row>
    <row r="2332" spans="1:8" ht="21.75" customHeight="1" x14ac:dyDescent="0.15">
      <c r="A2332" s="250"/>
      <c r="B2332" s="66" t="s">
        <v>2125</v>
      </c>
      <c r="C2332" s="67">
        <v>23</v>
      </c>
      <c r="D2332" s="68">
        <f>QUOTIENT(264038898500,1000000)</f>
        <v>264038</v>
      </c>
      <c r="E2332" s="68">
        <f>QUOTIENT(66504524500,1000000)</f>
        <v>66504</v>
      </c>
      <c r="F2332" s="69">
        <f>QUOTIENT(178031406500,1000000)</f>
        <v>178031</v>
      </c>
      <c r="G2332" s="69">
        <f>QUOTIENT(19502967500,1000000)</f>
        <v>19502</v>
      </c>
      <c r="H2332" s="70">
        <f>QUOTIENT(0,1000000)</f>
        <v>0</v>
      </c>
    </row>
    <row r="2333" spans="1:8" ht="21.75" customHeight="1" x14ac:dyDescent="0.15">
      <c r="A2333" s="250"/>
      <c r="B2333" s="66" t="s">
        <v>2126</v>
      </c>
      <c r="C2333" s="67">
        <v>103</v>
      </c>
      <c r="D2333" s="68">
        <f>QUOTIENT(0,1000000)</f>
        <v>0</v>
      </c>
      <c r="E2333" s="68">
        <f>QUOTIENT(0,1000000)</f>
        <v>0</v>
      </c>
      <c r="F2333" s="69">
        <f>QUOTIENT(0,1000000)</f>
        <v>0</v>
      </c>
      <c r="G2333" s="69">
        <f>QUOTIENT(0,1000000)</f>
        <v>0</v>
      </c>
      <c r="H2333" s="70">
        <f>QUOTIENT(0,1000000)</f>
        <v>0</v>
      </c>
    </row>
    <row r="2334" spans="1:8" ht="21.75" customHeight="1" x14ac:dyDescent="0.15">
      <c r="A2334" s="250"/>
      <c r="B2334" s="71" t="s">
        <v>34</v>
      </c>
      <c r="C2334" s="72">
        <v>1</v>
      </c>
      <c r="D2334" s="73">
        <f>QUOTIENT(168698480400,1000000)</f>
        <v>168698</v>
      </c>
      <c r="E2334" s="73">
        <f>QUOTIENT(126253860600,1000000)</f>
        <v>126253</v>
      </c>
      <c r="F2334" s="74">
        <f>QUOTIENT(8244340200,1000000)</f>
        <v>8244</v>
      </c>
      <c r="G2334" s="74">
        <f>QUOTIENT(30811646400,1000000)</f>
        <v>30811</v>
      </c>
      <c r="H2334" s="75">
        <f>QUOTIENT(3388633200,1000000)</f>
        <v>3388</v>
      </c>
    </row>
    <row r="2335" spans="1:8" ht="21.75" customHeight="1" x14ac:dyDescent="0.15">
      <c r="A2335" s="250"/>
      <c r="B2335" s="66" t="s">
        <v>2127</v>
      </c>
      <c r="C2335" s="67">
        <v>69</v>
      </c>
      <c r="D2335" s="68">
        <f>QUOTIENT(16593269403140,1000000)</f>
        <v>16593269</v>
      </c>
      <c r="E2335" s="68">
        <f>QUOTIENT(4250344407660,1000000)</f>
        <v>4250344</v>
      </c>
      <c r="F2335" s="69">
        <f>QUOTIENT(4904456134310,1000000)</f>
        <v>4904456</v>
      </c>
      <c r="G2335" s="69">
        <f>QUOTIENT(7331560591910,1000000)</f>
        <v>7331560</v>
      </c>
      <c r="H2335" s="70">
        <f>QUOTIENT(106908269260,1000000)</f>
        <v>106908</v>
      </c>
    </row>
    <row r="2336" spans="1:8" ht="21.75" customHeight="1" x14ac:dyDescent="0.15">
      <c r="A2336" s="250"/>
      <c r="B2336" s="76" t="s">
        <v>2128</v>
      </c>
      <c r="C2336" s="67">
        <v>195</v>
      </c>
      <c r="D2336" s="68">
        <f>QUOTIENT(39903927955419,1000000)</f>
        <v>39903927</v>
      </c>
      <c r="E2336" s="68">
        <f>QUOTIENT(3938668865246,1000000)</f>
        <v>3938668</v>
      </c>
      <c r="F2336" s="69">
        <f>QUOTIENT(1329680934160,1000000)</f>
        <v>1329680</v>
      </c>
      <c r="G2336" s="69">
        <f>QUOTIENT(34597795432543,1000000)</f>
        <v>34597795</v>
      </c>
      <c r="H2336" s="70">
        <f>QUOTIENT(37782723470,1000000)</f>
        <v>37782</v>
      </c>
    </row>
    <row r="2337" spans="1:8" ht="21.75" customHeight="1" x14ac:dyDescent="0.15">
      <c r="A2337" s="251"/>
      <c r="B2337" s="77" t="s">
        <v>2132</v>
      </c>
      <c r="C2337" s="72">
        <v>41</v>
      </c>
      <c r="D2337" s="73">
        <f>QUOTIENT(225792335948,1000000)</f>
        <v>225792</v>
      </c>
      <c r="E2337" s="73">
        <f>QUOTIENT(191781262768,1000000)</f>
        <v>191781</v>
      </c>
      <c r="F2337" s="74">
        <f>QUOTIENT(4315970030,1000000)</f>
        <v>4315</v>
      </c>
      <c r="G2337" s="74">
        <f>QUOTIENT(29362536250,1000000)</f>
        <v>29362</v>
      </c>
      <c r="H2337" s="75">
        <f>QUOTIENT(332566900,1000000)</f>
        <v>332</v>
      </c>
    </row>
    <row r="2338" spans="1:8" ht="21.75" customHeight="1" x14ac:dyDescent="0.15">
      <c r="A2338" s="30" t="s">
        <v>2133</v>
      </c>
      <c r="B2338" s="78" t="s">
        <v>2143</v>
      </c>
      <c r="C2338" s="79">
        <v>29</v>
      </c>
      <c r="D2338" s="80">
        <f>QUOTIENT(99234409940,1000000)</f>
        <v>99234</v>
      </c>
      <c r="E2338" s="80">
        <f>QUOTIENT(96793319011,1000000)</f>
        <v>96793</v>
      </c>
      <c r="F2338" s="81">
        <f>QUOTIENT(1005716659,1000000)</f>
        <v>1005</v>
      </c>
      <c r="G2338" s="81">
        <f>QUOTIENT(624125000,1000000)</f>
        <v>624</v>
      </c>
      <c r="H2338" s="82">
        <f>QUOTIENT(811249270,1000000)</f>
        <v>811</v>
      </c>
    </row>
    <row r="2339" spans="1:8" ht="21.75" customHeight="1" x14ac:dyDescent="0.15">
      <c r="A2339" s="252" t="s">
        <v>28</v>
      </c>
      <c r="B2339" s="17" t="s">
        <v>2129</v>
      </c>
      <c r="C2339" s="16">
        <v>3194</v>
      </c>
      <c r="D2339" s="83">
        <f>QUOTIENT(61895452770000,1000000)</f>
        <v>61895452</v>
      </c>
      <c r="E2339" s="83">
        <f>QUOTIENT(9693779790000,1000000)</f>
        <v>9693779</v>
      </c>
      <c r="F2339" s="84">
        <f>QUOTIENT(13446754180000,1000000)</f>
        <v>13446754</v>
      </c>
      <c r="G2339" s="84">
        <f>QUOTIENT(30911402730000,1000000)</f>
        <v>30911402</v>
      </c>
      <c r="H2339" s="85">
        <f>QUOTIENT(7843516070000,1000000)</f>
        <v>7843516</v>
      </c>
    </row>
    <row r="2340" spans="1:8" ht="21.75" customHeight="1" x14ac:dyDescent="0.15">
      <c r="A2340" s="250"/>
      <c r="B2340" s="23" t="s">
        <v>2144</v>
      </c>
      <c r="C2340" s="22">
        <v>3297</v>
      </c>
      <c r="D2340" s="86">
        <f>QUOTIENT(14469886076000,1000000)</f>
        <v>14469886</v>
      </c>
      <c r="E2340" s="86">
        <f>QUOTIENT(633989130000,1000000)</f>
        <v>633989</v>
      </c>
      <c r="F2340" s="87">
        <f>QUOTIENT(5094315927000,1000000)</f>
        <v>5094315</v>
      </c>
      <c r="G2340" s="87">
        <f>QUOTIENT(7109882729000,1000000)</f>
        <v>7109882</v>
      </c>
      <c r="H2340" s="88">
        <f>QUOTIENT(1631698290000,1000000)</f>
        <v>1631698</v>
      </c>
    </row>
    <row r="2341" spans="1:8" ht="21.75" customHeight="1" x14ac:dyDescent="0.15">
      <c r="A2341" s="250"/>
      <c r="B2341" s="24" t="s">
        <v>2145</v>
      </c>
      <c r="C2341" s="22">
        <v>630</v>
      </c>
      <c r="D2341" s="86">
        <f>QUOTIENT(29329970000000,1000000)</f>
        <v>29329970</v>
      </c>
      <c r="E2341" s="86">
        <f>QUOTIENT(2063256800000,1000000)</f>
        <v>2063256</v>
      </c>
      <c r="F2341" s="87">
        <f>QUOTIENT(9806096400000,1000000)</f>
        <v>9806096</v>
      </c>
      <c r="G2341" s="87">
        <f>QUOTIENT(13515802500000,1000000)</f>
        <v>13515802</v>
      </c>
      <c r="H2341" s="88">
        <f>QUOTIENT(3944814300000,1000000)</f>
        <v>3944814</v>
      </c>
    </row>
    <row r="2342" spans="1:8" ht="21.75" customHeight="1" x14ac:dyDescent="0.15">
      <c r="A2342" s="250"/>
      <c r="B2342" s="23" t="s">
        <v>2146</v>
      </c>
      <c r="C2342" s="22">
        <v>1796</v>
      </c>
      <c r="D2342" s="86">
        <f>QUOTIENT(52505100000000,1000000)</f>
        <v>52505100</v>
      </c>
      <c r="E2342" s="86">
        <f>QUOTIENT(5450514500000,1000000)</f>
        <v>5450514</v>
      </c>
      <c r="F2342" s="87">
        <f>QUOTIENT(11321439000000,1000000)</f>
        <v>11321439</v>
      </c>
      <c r="G2342" s="87">
        <f>QUOTIENT(31466277500000,1000000)</f>
        <v>31466277</v>
      </c>
      <c r="H2342" s="88">
        <f>QUOTIENT(4266869000000,1000000)</f>
        <v>4266869</v>
      </c>
    </row>
    <row r="2343" spans="1:8" ht="21.75" customHeight="1" x14ac:dyDescent="0.15">
      <c r="A2343" s="250"/>
      <c r="B2343" s="23" t="s">
        <v>2147</v>
      </c>
      <c r="C2343" s="22">
        <v>387</v>
      </c>
      <c r="D2343" s="86">
        <f>QUOTIENT(4772863000000,1000000)</f>
        <v>4772863</v>
      </c>
      <c r="E2343" s="86">
        <f>QUOTIENT(344061900000,1000000)</f>
        <v>344061</v>
      </c>
      <c r="F2343" s="87">
        <f>QUOTIENT(71235800000,1000000)</f>
        <v>71235</v>
      </c>
      <c r="G2343" s="87">
        <f>QUOTIENT(4319026300000,1000000)</f>
        <v>4319026</v>
      </c>
      <c r="H2343" s="88">
        <f>QUOTIENT(38539000000,1000000)</f>
        <v>38539</v>
      </c>
    </row>
    <row r="2344" spans="1:8" ht="21.75" customHeight="1" x14ac:dyDescent="0.15">
      <c r="A2344" s="250"/>
      <c r="B2344" s="23" t="s">
        <v>2148</v>
      </c>
      <c r="C2344" s="22">
        <v>137</v>
      </c>
      <c r="D2344" s="86">
        <f>QUOTIENT(1197800000000,1000000)</f>
        <v>1197800</v>
      </c>
      <c r="E2344" s="86">
        <f>QUOTIENT(289070000000,1000000)</f>
        <v>289070</v>
      </c>
      <c r="F2344" s="87">
        <f>QUOTIENT(95700000000,1000000)</f>
        <v>95700</v>
      </c>
      <c r="G2344" s="87">
        <f>QUOTIENT(522930000000,1000000)</f>
        <v>522930</v>
      </c>
      <c r="H2344" s="88">
        <f>QUOTIENT(290100000000,1000000)</f>
        <v>290100</v>
      </c>
    </row>
    <row r="2345" spans="1:8" ht="21.75" customHeight="1" x14ac:dyDescent="0.15">
      <c r="A2345" s="250"/>
      <c r="B2345" s="23" t="s">
        <v>2149</v>
      </c>
      <c r="C2345" s="22">
        <v>26</v>
      </c>
      <c r="D2345" s="86">
        <f>QUOTIENT(189221000000,1000000)</f>
        <v>189221</v>
      </c>
      <c r="E2345" s="86">
        <f>QUOTIENT(116614000000,1000000)</f>
        <v>116614</v>
      </c>
      <c r="F2345" s="87">
        <f>QUOTIENT(12097000000,1000000)</f>
        <v>12097</v>
      </c>
      <c r="G2345" s="87">
        <f>QUOTIENT(26359000000,1000000)</f>
        <v>26359</v>
      </c>
      <c r="H2345" s="88">
        <f>QUOTIENT(34151000000,1000000)</f>
        <v>34151</v>
      </c>
    </row>
    <row r="2346" spans="1:8" ht="21.75" customHeight="1" x14ac:dyDescent="0.15">
      <c r="A2346" s="250"/>
      <c r="B2346" s="23" t="s">
        <v>2150</v>
      </c>
      <c r="C2346" s="22">
        <v>0</v>
      </c>
      <c r="D2346" s="86">
        <f>QUOTIENT(0,1000000)</f>
        <v>0</v>
      </c>
      <c r="E2346" s="86">
        <f>QUOTIENT(0,1000000)</f>
        <v>0</v>
      </c>
      <c r="F2346" s="87">
        <f>QUOTIENT(0,1000000)</f>
        <v>0</v>
      </c>
      <c r="G2346" s="87">
        <f>QUOTIENT(0,1000000)</f>
        <v>0</v>
      </c>
      <c r="H2346" s="88">
        <f>QUOTIENT(0,1000000)</f>
        <v>0</v>
      </c>
    </row>
    <row r="2347" spans="1:8" ht="21.75" customHeight="1" x14ac:dyDescent="0.15">
      <c r="A2347" s="250"/>
      <c r="B2347" s="23" t="s">
        <v>2151</v>
      </c>
      <c r="C2347" s="22">
        <v>240</v>
      </c>
      <c r="D2347" s="86">
        <f>QUOTIENT(7551170000000,1000000)</f>
        <v>7551170</v>
      </c>
      <c r="E2347" s="86">
        <f>QUOTIENT(652520000000,1000000)</f>
        <v>652520</v>
      </c>
      <c r="F2347" s="87">
        <f>QUOTIENT(2798820000000,1000000)</f>
        <v>2798820</v>
      </c>
      <c r="G2347" s="87">
        <f>QUOTIENT(3042800000000,1000000)</f>
        <v>3042800</v>
      </c>
      <c r="H2347" s="88">
        <f>QUOTIENT(1057030000000,1000000)</f>
        <v>1057030</v>
      </c>
    </row>
    <row r="2348" spans="1:8" ht="21.75" customHeight="1" x14ac:dyDescent="0.15">
      <c r="A2348" s="250"/>
      <c r="B2348" s="23" t="s">
        <v>2152</v>
      </c>
      <c r="C2348" s="22">
        <v>3427</v>
      </c>
      <c r="D2348" s="86">
        <f>QUOTIENT(67138287000000,1000000)</f>
        <v>67138287</v>
      </c>
      <c r="E2348" s="86">
        <f>QUOTIENT(15933932600000,1000000)</f>
        <v>15933932</v>
      </c>
      <c r="F2348" s="87">
        <f>QUOTIENT(10525913600000,1000000)</f>
        <v>10525913</v>
      </c>
      <c r="G2348" s="87">
        <f>QUOTIENT(32584978600000,1000000)</f>
        <v>32584978</v>
      </c>
      <c r="H2348" s="88">
        <f>QUOTIENT(8093462200000,1000000)</f>
        <v>8093462</v>
      </c>
    </row>
    <row r="2349" spans="1:8" ht="21.75" customHeight="1" x14ac:dyDescent="0.15">
      <c r="A2349" s="250"/>
      <c r="B2349" s="23" t="s">
        <v>2153</v>
      </c>
      <c r="C2349" s="22">
        <v>640</v>
      </c>
      <c r="D2349" s="86">
        <f>QUOTIENT(15145360000000,1000000)</f>
        <v>15145360</v>
      </c>
      <c r="E2349" s="86">
        <f>QUOTIENT(2985179100000,1000000)</f>
        <v>2985179</v>
      </c>
      <c r="F2349" s="87">
        <f>QUOTIENT(2792877800000,1000000)</f>
        <v>2792877</v>
      </c>
      <c r="G2349" s="87">
        <f>QUOTIENT(7835813300000,1000000)</f>
        <v>7835813</v>
      </c>
      <c r="H2349" s="88">
        <f>QUOTIENT(1531489800000,1000000)</f>
        <v>1531489</v>
      </c>
    </row>
    <row r="2350" spans="1:8" ht="21.75" customHeight="1" x14ac:dyDescent="0.15">
      <c r="A2350" s="250"/>
      <c r="B2350" s="23" t="s">
        <v>2154</v>
      </c>
      <c r="C2350" s="22">
        <v>57492</v>
      </c>
      <c r="D2350" s="86">
        <f>QUOTIENT(13306806069000,1000000)</f>
        <v>13306806</v>
      </c>
      <c r="E2350" s="86">
        <f>QUOTIENT(1141748700000,1000000)</f>
        <v>1141748</v>
      </c>
      <c r="F2350" s="87">
        <f>QUOTIENT(5134821320000,1000000)</f>
        <v>5134821</v>
      </c>
      <c r="G2350" s="87">
        <f>QUOTIENT(6651191049000,1000000)</f>
        <v>6651191</v>
      </c>
      <c r="H2350" s="88">
        <f>QUOTIENT(379045000000,1000000)</f>
        <v>379045</v>
      </c>
    </row>
    <row r="2351" spans="1:8" ht="21.75" customHeight="1" x14ac:dyDescent="0.15">
      <c r="A2351" s="250"/>
      <c r="B2351" s="23" t="s">
        <v>2155</v>
      </c>
      <c r="C2351" s="22">
        <v>318</v>
      </c>
      <c r="D2351" s="86">
        <f>QUOTIENT(913259989000,1000000)</f>
        <v>913259</v>
      </c>
      <c r="E2351" s="86">
        <f>QUOTIENT(103021100000,1000000)</f>
        <v>103021</v>
      </c>
      <c r="F2351" s="87">
        <f>QUOTIENT(566231620000,1000000)</f>
        <v>566231</v>
      </c>
      <c r="G2351" s="87">
        <f>QUOTIENT(244007269000,1000000)</f>
        <v>244007</v>
      </c>
      <c r="H2351" s="88">
        <f>QUOTIENT(0,1000000)</f>
        <v>0</v>
      </c>
    </row>
    <row r="2352" spans="1:8" ht="21.75" customHeight="1" x14ac:dyDescent="0.15">
      <c r="A2352" s="250"/>
      <c r="B2352" s="23" t="s">
        <v>2156</v>
      </c>
      <c r="C2352" s="22">
        <v>45</v>
      </c>
      <c r="D2352" s="86">
        <f>QUOTIENT(229800000000,1000000)</f>
        <v>229800</v>
      </c>
      <c r="E2352" s="86">
        <f>QUOTIENT(100727000000,1000000)</f>
        <v>100727</v>
      </c>
      <c r="F2352" s="87">
        <f>QUOTIENT(18900000000,1000000)</f>
        <v>18900</v>
      </c>
      <c r="G2352" s="87">
        <f>QUOTIENT(79771000000,1000000)</f>
        <v>79771</v>
      </c>
      <c r="H2352" s="88">
        <f>QUOTIENT(30402000000,1000000)</f>
        <v>30402</v>
      </c>
    </row>
    <row r="2353" spans="1:8" ht="21.75" customHeight="1" x14ac:dyDescent="0.15">
      <c r="A2353" s="250"/>
      <c r="B2353" s="23" t="s">
        <v>2157</v>
      </c>
      <c r="C2353" s="22">
        <v>523</v>
      </c>
      <c r="D2353" s="86">
        <f>QUOTIENT(2593844377000,1000000)</f>
        <v>2593844</v>
      </c>
      <c r="E2353" s="86">
        <f>QUOTIENT(203008290000,1000000)</f>
        <v>203008</v>
      </c>
      <c r="F2353" s="87">
        <f>QUOTIENT(1246725587000,1000000)</f>
        <v>1246725</v>
      </c>
      <c r="G2353" s="87">
        <f>QUOTIENT(1067215500000,1000000)</f>
        <v>1067215</v>
      </c>
      <c r="H2353" s="88">
        <f>QUOTIENT(76895000000,1000000)</f>
        <v>76895</v>
      </c>
    </row>
    <row r="2354" spans="1:8" ht="21.75" customHeight="1" x14ac:dyDescent="0.15">
      <c r="A2354" s="250"/>
      <c r="B2354" s="23" t="s">
        <v>2158</v>
      </c>
      <c r="C2354" s="22">
        <v>301</v>
      </c>
      <c r="D2354" s="86">
        <f>QUOTIENT(8741400000000,1000000)</f>
        <v>8741400</v>
      </c>
      <c r="E2354" s="86">
        <f>QUOTIENT(954490000000,1000000)</f>
        <v>954490</v>
      </c>
      <c r="F2354" s="87">
        <f>QUOTIENT(1896300000000,1000000)</f>
        <v>1896300</v>
      </c>
      <c r="G2354" s="87">
        <f>QUOTIENT(5081880000000,1000000)</f>
        <v>5081880</v>
      </c>
      <c r="H2354" s="88">
        <f>QUOTIENT(808730000000,1000000)</f>
        <v>808730</v>
      </c>
    </row>
    <row r="2355" spans="1:8" ht="21.75" customHeight="1" x14ac:dyDescent="0.15">
      <c r="A2355" s="250"/>
      <c r="B2355" s="23" t="s">
        <v>2159</v>
      </c>
      <c r="C2355" s="22">
        <v>70</v>
      </c>
      <c r="D2355" s="86">
        <f>QUOTIENT(2280450000000,1000000)</f>
        <v>2280450</v>
      </c>
      <c r="E2355" s="86">
        <f>QUOTIENT(219200000000,1000000)</f>
        <v>219200</v>
      </c>
      <c r="F2355" s="87">
        <f>QUOTIENT(769850000000,1000000)</f>
        <v>769850</v>
      </c>
      <c r="G2355" s="87">
        <f>QUOTIENT(1059600000000,1000000)</f>
        <v>1059600</v>
      </c>
      <c r="H2355" s="88">
        <f>QUOTIENT(231800000000,1000000)</f>
        <v>231800</v>
      </c>
    </row>
    <row r="2356" spans="1:8" ht="21.75" customHeight="1" x14ac:dyDescent="0.15">
      <c r="A2356" s="250"/>
      <c r="B2356" s="23" t="s">
        <v>10</v>
      </c>
      <c r="C2356" s="22">
        <v>0</v>
      </c>
      <c r="D2356" s="86">
        <f t="shared" ref="D2356:H2358" si="58">QUOTIENT(0,1000000)</f>
        <v>0</v>
      </c>
      <c r="E2356" s="86">
        <f t="shared" si="58"/>
        <v>0</v>
      </c>
      <c r="F2356" s="87">
        <f t="shared" si="58"/>
        <v>0</v>
      </c>
      <c r="G2356" s="87">
        <f t="shared" si="58"/>
        <v>0</v>
      </c>
      <c r="H2356" s="88">
        <f t="shared" si="58"/>
        <v>0</v>
      </c>
    </row>
    <row r="2357" spans="1:8" ht="21.75" customHeight="1" x14ac:dyDescent="0.15">
      <c r="A2357" s="250"/>
      <c r="B2357" s="23" t="s">
        <v>2160</v>
      </c>
      <c r="C2357" s="22">
        <v>0</v>
      </c>
      <c r="D2357" s="86">
        <f t="shared" si="58"/>
        <v>0</v>
      </c>
      <c r="E2357" s="86">
        <f t="shared" si="58"/>
        <v>0</v>
      </c>
      <c r="F2357" s="87">
        <f t="shared" si="58"/>
        <v>0</v>
      </c>
      <c r="G2357" s="87">
        <f t="shared" si="58"/>
        <v>0</v>
      </c>
      <c r="H2357" s="88">
        <f t="shared" si="58"/>
        <v>0</v>
      </c>
    </row>
    <row r="2358" spans="1:8" ht="21.75" customHeight="1" x14ac:dyDescent="0.15">
      <c r="A2358" s="250"/>
      <c r="B2358" s="23" t="s">
        <v>2161</v>
      </c>
      <c r="C2358" s="22">
        <v>0</v>
      </c>
      <c r="D2358" s="86">
        <f t="shared" si="58"/>
        <v>0</v>
      </c>
      <c r="E2358" s="86">
        <f t="shared" si="58"/>
        <v>0</v>
      </c>
      <c r="F2358" s="87">
        <f t="shared" si="58"/>
        <v>0</v>
      </c>
      <c r="G2358" s="87">
        <f t="shared" si="58"/>
        <v>0</v>
      </c>
      <c r="H2358" s="88">
        <f t="shared" si="58"/>
        <v>0</v>
      </c>
    </row>
    <row r="2359" spans="1:8" ht="21.75" customHeight="1" x14ac:dyDescent="0.15">
      <c r="A2359" s="251"/>
      <c r="B2359" s="23" t="s">
        <v>2162</v>
      </c>
      <c r="C2359" s="22">
        <v>24</v>
      </c>
      <c r="D2359" s="86">
        <f>QUOTIENT(16241900000,1000000)</f>
        <v>16241</v>
      </c>
      <c r="E2359" s="86">
        <f>QUOTIENT(466900000,1000000)</f>
        <v>466</v>
      </c>
      <c r="F2359" s="87">
        <f>QUOTIENT(14000000000,1000000)</f>
        <v>14000</v>
      </c>
      <c r="G2359" s="87">
        <f>QUOTIENT(1775000000,1000000)</f>
        <v>1775</v>
      </c>
      <c r="H2359" s="88">
        <f>QUOTIENT(0,1000000)</f>
        <v>0</v>
      </c>
    </row>
    <row r="2360" spans="1:8" ht="21.75" customHeight="1" x14ac:dyDescent="0.15">
      <c r="A2360" s="18" t="s">
        <v>6</v>
      </c>
      <c r="B2360" s="17" t="s">
        <v>2163</v>
      </c>
      <c r="C2360" s="16">
        <v>3242</v>
      </c>
      <c r="D2360" s="80">
        <v>17555761</v>
      </c>
      <c r="E2360" s="80">
        <v>817900</v>
      </c>
      <c r="F2360" s="81">
        <v>7576927</v>
      </c>
      <c r="G2360" s="81">
        <v>6277215</v>
      </c>
      <c r="H2360" s="82">
        <v>2883719</v>
      </c>
    </row>
    <row r="2361" spans="1:8" ht="21.75" customHeight="1" x14ac:dyDescent="0.15">
      <c r="A2361" s="252" t="s">
        <v>2164</v>
      </c>
      <c r="B2361" s="12" t="s">
        <v>2165</v>
      </c>
      <c r="C2361" s="11">
        <v>5856</v>
      </c>
      <c r="D2361" s="89">
        <v>76509639</v>
      </c>
      <c r="E2361" s="89">
        <v>45842455</v>
      </c>
      <c r="F2361" s="90">
        <v>13079891</v>
      </c>
      <c r="G2361" s="90">
        <v>10783782</v>
      </c>
      <c r="H2361" s="91">
        <v>6803509</v>
      </c>
    </row>
    <row r="2362" spans="1:8" ht="21.75" customHeight="1" thickBot="1" x14ac:dyDescent="0.2">
      <c r="A2362" s="253"/>
      <c r="B2362" s="7" t="s">
        <v>2166</v>
      </c>
      <c r="C2362" s="6">
        <v>6578</v>
      </c>
      <c r="D2362" s="92" t="s">
        <v>2167</v>
      </c>
      <c r="E2362" s="92" t="s">
        <v>2167</v>
      </c>
      <c r="F2362" s="92" t="s">
        <v>2167</v>
      </c>
      <c r="G2362" s="92" t="s">
        <v>2167</v>
      </c>
      <c r="H2362" s="93" t="s">
        <v>2167</v>
      </c>
    </row>
    <row r="2363" spans="1:8" s="60" customFormat="1" ht="18" customHeight="1" x14ac:dyDescent="0.15">
      <c r="A2363" s="3" t="s">
        <v>2168</v>
      </c>
      <c r="B2363" s="2"/>
      <c r="C2363" s="2"/>
      <c r="D2363" s="2"/>
      <c r="E2363" s="2"/>
      <c r="F2363" s="2"/>
      <c r="G2363" s="2"/>
      <c r="H2363" s="2"/>
    </row>
    <row r="2364" spans="1:8" ht="21.75" customHeight="1" x14ac:dyDescent="0.15">
      <c r="A2364" s="3" t="s">
        <v>2587</v>
      </c>
      <c r="B2364" s="2"/>
      <c r="C2364" s="2"/>
      <c r="D2364" s="2"/>
      <c r="E2364" s="2"/>
      <c r="F2364" s="2"/>
      <c r="G2364" s="2"/>
      <c r="H2364" s="2"/>
    </row>
    <row r="2365" spans="1:8" ht="21.75" customHeight="1" x14ac:dyDescent="0.15">
      <c r="A2365" s="3" t="s">
        <v>2169</v>
      </c>
      <c r="B2365" s="2"/>
      <c r="C2365" s="2"/>
      <c r="D2365" s="2"/>
      <c r="E2365" s="2"/>
      <c r="F2365" s="2"/>
      <c r="G2365" s="2"/>
      <c r="H2365" s="2"/>
    </row>
    <row r="2366" spans="1:8" ht="21.75" customHeight="1" x14ac:dyDescent="0.15">
      <c r="A2366" s="3" t="s">
        <v>2130</v>
      </c>
      <c r="B2366" s="2"/>
      <c r="C2366" s="2"/>
      <c r="D2366" s="2"/>
      <c r="E2366" s="2"/>
      <c r="F2366" s="2"/>
      <c r="G2366" s="2"/>
      <c r="H2366" s="2"/>
    </row>
    <row r="2367" spans="1:8" ht="24" customHeight="1" x14ac:dyDescent="0.15">
      <c r="A2367" s="230" t="s">
        <v>2081</v>
      </c>
      <c r="B2367" s="230"/>
      <c r="C2367" s="230"/>
      <c r="D2367" s="230"/>
      <c r="E2367" s="230"/>
      <c r="F2367" s="230"/>
      <c r="G2367" s="230"/>
      <c r="H2367" s="230"/>
    </row>
    <row r="2368" spans="1:8" ht="21.75" customHeight="1" x14ac:dyDescent="0.15">
      <c r="A2368" s="231"/>
      <c r="B2368" s="231"/>
      <c r="C2368" s="231"/>
      <c r="D2368" s="231"/>
      <c r="E2368" s="231"/>
      <c r="F2368" s="231"/>
      <c r="G2368" s="231"/>
      <c r="H2368" s="231"/>
    </row>
    <row r="2369" spans="1:8" ht="21.75" customHeight="1" thickBot="1" x14ac:dyDescent="0.2">
      <c r="A2369" s="58" t="s">
        <v>2082</v>
      </c>
    </row>
    <row r="2370" spans="1:8" ht="21.75" customHeight="1" x14ac:dyDescent="0.15">
      <c r="A2370" s="232" t="s">
        <v>2083</v>
      </c>
      <c r="B2370" s="235" t="s">
        <v>2084</v>
      </c>
      <c r="C2370" s="238" t="s">
        <v>2085</v>
      </c>
      <c r="D2370" s="241" t="s">
        <v>2086</v>
      </c>
      <c r="E2370" s="57"/>
      <c r="F2370" s="56"/>
      <c r="G2370" s="56"/>
      <c r="H2370" s="55"/>
    </row>
    <row r="2371" spans="1:8" ht="21.75" customHeight="1" x14ac:dyDescent="0.15">
      <c r="A2371" s="233"/>
      <c r="B2371" s="236"/>
      <c r="C2371" s="239"/>
      <c r="D2371" s="242"/>
      <c r="E2371" s="244" t="s">
        <v>43</v>
      </c>
      <c r="F2371" s="254" t="s">
        <v>42</v>
      </c>
      <c r="G2371" s="254" t="s">
        <v>2087</v>
      </c>
      <c r="H2371" s="256" t="s">
        <v>2088</v>
      </c>
    </row>
    <row r="2372" spans="1:8" ht="21.75" customHeight="1" thickBot="1" x14ac:dyDescent="0.2">
      <c r="A2372" s="234"/>
      <c r="B2372" s="237"/>
      <c r="C2372" s="240"/>
      <c r="D2372" s="243"/>
      <c r="E2372" s="245"/>
      <c r="F2372" s="255"/>
      <c r="G2372" s="255"/>
      <c r="H2372" s="257"/>
    </row>
    <row r="2373" spans="1:8" ht="21.75" customHeight="1" thickTop="1" x14ac:dyDescent="0.15">
      <c r="A2373" s="54"/>
      <c r="B2373" s="53"/>
      <c r="C2373" s="52"/>
      <c r="D2373" s="51" t="s">
        <v>2089</v>
      </c>
      <c r="E2373" s="50" t="s">
        <v>2090</v>
      </c>
      <c r="F2373" s="49" t="s">
        <v>2091</v>
      </c>
      <c r="G2373" s="49" t="s">
        <v>39</v>
      </c>
      <c r="H2373" s="48" t="s">
        <v>2091</v>
      </c>
    </row>
    <row r="2374" spans="1:8" ht="21.75" customHeight="1" x14ac:dyDescent="0.15">
      <c r="A2374" s="250" t="s">
        <v>2092</v>
      </c>
      <c r="B2374" s="47" t="s">
        <v>2093</v>
      </c>
      <c r="C2374" s="46">
        <v>3776</v>
      </c>
      <c r="D2374" s="45">
        <v>598366247</v>
      </c>
      <c r="E2374" s="45">
        <v>229854756</v>
      </c>
      <c r="F2374" s="44">
        <v>180383579</v>
      </c>
      <c r="G2374" s="44">
        <v>184690454</v>
      </c>
      <c r="H2374" s="43">
        <v>3437456</v>
      </c>
    </row>
    <row r="2375" spans="1:8" ht="21.75" customHeight="1" x14ac:dyDescent="0.15">
      <c r="A2375" s="250"/>
      <c r="B2375" s="41" t="s">
        <v>2094</v>
      </c>
      <c r="C2375" s="39">
        <v>25</v>
      </c>
      <c r="D2375" s="38">
        <v>292469</v>
      </c>
      <c r="E2375" s="38">
        <v>73084</v>
      </c>
      <c r="F2375" s="37">
        <v>190735</v>
      </c>
      <c r="G2375" s="37">
        <v>28649</v>
      </c>
      <c r="H2375" s="36">
        <v>0</v>
      </c>
    </row>
    <row r="2376" spans="1:8" ht="21.75" customHeight="1" x14ac:dyDescent="0.15">
      <c r="A2376" s="250"/>
      <c r="B2376" s="41" t="s">
        <v>2095</v>
      </c>
      <c r="C2376" s="39">
        <v>104</v>
      </c>
      <c r="D2376" s="38">
        <v>0</v>
      </c>
      <c r="E2376" s="38">
        <v>0</v>
      </c>
      <c r="F2376" s="37">
        <v>0</v>
      </c>
      <c r="G2376" s="37">
        <v>0</v>
      </c>
      <c r="H2376" s="36">
        <v>0</v>
      </c>
    </row>
    <row r="2377" spans="1:8" ht="21.75" customHeight="1" x14ac:dyDescent="0.15">
      <c r="A2377" s="250"/>
      <c r="B2377" s="42" t="s">
        <v>2096</v>
      </c>
      <c r="C2377" s="34">
        <v>1</v>
      </c>
      <c r="D2377" s="33">
        <v>168556</v>
      </c>
      <c r="E2377" s="33">
        <v>126137</v>
      </c>
      <c r="F2377" s="32">
        <v>8245</v>
      </c>
      <c r="G2377" s="32">
        <v>30785</v>
      </c>
      <c r="H2377" s="31">
        <v>3387</v>
      </c>
    </row>
    <row r="2378" spans="1:8" ht="21.75" customHeight="1" x14ac:dyDescent="0.15">
      <c r="A2378" s="250"/>
      <c r="B2378" s="41" t="s">
        <v>2097</v>
      </c>
      <c r="C2378" s="39">
        <v>69</v>
      </c>
      <c r="D2378" s="38">
        <v>15777708</v>
      </c>
      <c r="E2378" s="38">
        <v>4213437</v>
      </c>
      <c r="F2378" s="37">
        <v>4357667</v>
      </c>
      <c r="G2378" s="37">
        <v>7070478</v>
      </c>
      <c r="H2378" s="36">
        <v>136125</v>
      </c>
    </row>
    <row r="2379" spans="1:8" ht="21.75" customHeight="1" x14ac:dyDescent="0.15">
      <c r="A2379" s="250"/>
      <c r="B2379" s="40" t="s">
        <v>2098</v>
      </c>
      <c r="C2379" s="39">
        <v>195</v>
      </c>
      <c r="D2379" s="38">
        <v>37591179</v>
      </c>
      <c r="E2379" s="38">
        <v>3838443</v>
      </c>
      <c r="F2379" s="37">
        <v>1260773</v>
      </c>
      <c r="G2379" s="37">
        <v>32455806</v>
      </c>
      <c r="H2379" s="36">
        <v>36155</v>
      </c>
    </row>
    <row r="2380" spans="1:8" ht="21.75" customHeight="1" x14ac:dyDescent="0.15">
      <c r="A2380" s="251"/>
      <c r="B2380" s="35" t="s">
        <v>2099</v>
      </c>
      <c r="C2380" s="34">
        <v>41</v>
      </c>
      <c r="D2380" s="33">
        <v>222331</v>
      </c>
      <c r="E2380" s="33">
        <v>188595</v>
      </c>
      <c r="F2380" s="32">
        <v>3855</v>
      </c>
      <c r="G2380" s="32">
        <v>29453</v>
      </c>
      <c r="H2380" s="31">
        <v>426</v>
      </c>
    </row>
    <row r="2381" spans="1:8" ht="21.75" customHeight="1" x14ac:dyDescent="0.15">
      <c r="A2381" s="30" t="s">
        <v>2100</v>
      </c>
      <c r="B2381" s="29" t="s">
        <v>2101</v>
      </c>
      <c r="C2381" s="28">
        <v>29</v>
      </c>
      <c r="D2381" s="15">
        <v>103143</v>
      </c>
      <c r="E2381" s="15">
        <v>100737</v>
      </c>
      <c r="F2381" s="14">
        <v>932</v>
      </c>
      <c r="G2381" s="14">
        <v>658</v>
      </c>
      <c r="H2381" s="13">
        <v>815</v>
      </c>
    </row>
    <row r="2382" spans="1:8" ht="21.75" customHeight="1" x14ac:dyDescent="0.15">
      <c r="A2382" s="252" t="s">
        <v>2102</v>
      </c>
      <c r="B2382" s="17" t="s">
        <v>2103</v>
      </c>
      <c r="C2382" s="16">
        <v>3193</v>
      </c>
      <c r="D2382" s="27">
        <v>61919252</v>
      </c>
      <c r="E2382" s="27">
        <v>9605285</v>
      </c>
      <c r="F2382" s="26">
        <v>13330275</v>
      </c>
      <c r="G2382" s="26">
        <v>31067353</v>
      </c>
      <c r="H2382" s="25">
        <v>7916337</v>
      </c>
    </row>
    <row r="2383" spans="1:8" ht="21.75" customHeight="1" x14ac:dyDescent="0.15">
      <c r="A2383" s="250"/>
      <c r="B2383" s="23" t="s">
        <v>2104</v>
      </c>
      <c r="C2383" s="22">
        <v>3292</v>
      </c>
      <c r="D2383" s="21">
        <v>14469153</v>
      </c>
      <c r="E2383" s="21">
        <v>599567</v>
      </c>
      <c r="F2383" s="20">
        <v>4884003</v>
      </c>
      <c r="G2383" s="20">
        <v>7325375</v>
      </c>
      <c r="H2383" s="19">
        <v>1660207</v>
      </c>
    </row>
    <row r="2384" spans="1:8" ht="21.75" customHeight="1" x14ac:dyDescent="0.15">
      <c r="A2384" s="250"/>
      <c r="B2384" s="24" t="s">
        <v>2105</v>
      </c>
      <c r="C2384" s="22">
        <v>631</v>
      </c>
      <c r="D2384" s="21">
        <v>29519970</v>
      </c>
      <c r="E2384" s="21">
        <v>2060333</v>
      </c>
      <c r="F2384" s="20">
        <v>9833771</v>
      </c>
      <c r="G2384" s="20">
        <v>13533998</v>
      </c>
      <c r="H2384" s="19">
        <v>4091865</v>
      </c>
    </row>
    <row r="2385" spans="1:8" ht="21.75" customHeight="1" x14ac:dyDescent="0.15">
      <c r="A2385" s="250"/>
      <c r="B2385" s="23" t="s">
        <v>24</v>
      </c>
      <c r="C2385" s="22">
        <v>1806</v>
      </c>
      <c r="D2385" s="21">
        <v>52653400</v>
      </c>
      <c r="E2385" s="21">
        <v>5323064</v>
      </c>
      <c r="F2385" s="20">
        <v>11379399</v>
      </c>
      <c r="G2385" s="20">
        <v>31596507</v>
      </c>
      <c r="H2385" s="19">
        <v>4354429</v>
      </c>
    </row>
    <row r="2386" spans="1:8" ht="21.75" customHeight="1" x14ac:dyDescent="0.15">
      <c r="A2386" s="250"/>
      <c r="B2386" s="23" t="s">
        <v>2106</v>
      </c>
      <c r="C2386" s="22">
        <v>382</v>
      </c>
      <c r="D2386" s="21">
        <v>4736272</v>
      </c>
      <c r="E2386" s="21">
        <v>347844</v>
      </c>
      <c r="F2386" s="20">
        <v>70044</v>
      </c>
      <c r="G2386" s="20">
        <v>4279851</v>
      </c>
      <c r="H2386" s="19">
        <v>38532</v>
      </c>
    </row>
    <row r="2387" spans="1:8" ht="21.75" customHeight="1" x14ac:dyDescent="0.15">
      <c r="A2387" s="250"/>
      <c r="B2387" s="23" t="s">
        <v>22</v>
      </c>
      <c r="C2387" s="22">
        <v>134</v>
      </c>
      <c r="D2387" s="21">
        <v>1205800</v>
      </c>
      <c r="E2387" s="21">
        <v>289470</v>
      </c>
      <c r="F2387" s="20">
        <v>97000</v>
      </c>
      <c r="G2387" s="20">
        <v>526630</v>
      </c>
      <c r="H2387" s="19">
        <v>292700</v>
      </c>
    </row>
    <row r="2388" spans="1:8" ht="21.75" customHeight="1" x14ac:dyDescent="0.15">
      <c r="A2388" s="250"/>
      <c r="B2388" s="23" t="s">
        <v>21</v>
      </c>
      <c r="C2388" s="22">
        <v>26</v>
      </c>
      <c r="D2388" s="21">
        <v>189221</v>
      </c>
      <c r="E2388" s="21">
        <v>116514</v>
      </c>
      <c r="F2388" s="20">
        <v>12097</v>
      </c>
      <c r="G2388" s="20">
        <v>26359</v>
      </c>
      <c r="H2388" s="19">
        <v>34251</v>
      </c>
    </row>
    <row r="2389" spans="1:8" ht="21.75" customHeight="1" x14ac:dyDescent="0.15">
      <c r="A2389" s="250"/>
      <c r="B2389" s="23" t="s">
        <v>2107</v>
      </c>
      <c r="C2389" s="22">
        <v>0</v>
      </c>
      <c r="D2389" s="21">
        <v>0</v>
      </c>
      <c r="E2389" s="21">
        <v>0</v>
      </c>
      <c r="F2389" s="20">
        <v>0</v>
      </c>
      <c r="G2389" s="20">
        <v>0</v>
      </c>
      <c r="H2389" s="19">
        <v>0</v>
      </c>
    </row>
    <row r="2390" spans="1:8" ht="21.75" customHeight="1" x14ac:dyDescent="0.15">
      <c r="A2390" s="250"/>
      <c r="B2390" s="23" t="s">
        <v>2108</v>
      </c>
      <c r="C2390" s="22">
        <v>240</v>
      </c>
      <c r="D2390" s="21">
        <v>7628900</v>
      </c>
      <c r="E2390" s="21">
        <v>674780</v>
      </c>
      <c r="F2390" s="20">
        <v>2796650</v>
      </c>
      <c r="G2390" s="20">
        <v>3033930</v>
      </c>
      <c r="H2390" s="19">
        <v>1123540</v>
      </c>
    </row>
    <row r="2391" spans="1:8" ht="21.75" customHeight="1" x14ac:dyDescent="0.15">
      <c r="A2391" s="250"/>
      <c r="B2391" s="23" t="s">
        <v>2109</v>
      </c>
      <c r="C2391" s="22">
        <v>3383</v>
      </c>
      <c r="D2391" s="21">
        <v>65839391</v>
      </c>
      <c r="E2391" s="21">
        <v>15529501</v>
      </c>
      <c r="F2391" s="20">
        <v>10475837</v>
      </c>
      <c r="G2391" s="20">
        <v>32001530</v>
      </c>
      <c r="H2391" s="19">
        <v>7832521</v>
      </c>
    </row>
    <row r="2392" spans="1:8" ht="21.75" customHeight="1" x14ac:dyDescent="0.15">
      <c r="A2392" s="250"/>
      <c r="B2392" s="23" t="s">
        <v>2110</v>
      </c>
      <c r="C2392" s="22">
        <v>644</v>
      </c>
      <c r="D2392" s="21">
        <v>15270360</v>
      </c>
      <c r="E2392" s="21">
        <v>2934439</v>
      </c>
      <c r="F2392" s="20">
        <v>2858410</v>
      </c>
      <c r="G2392" s="20">
        <v>7949989</v>
      </c>
      <c r="H2392" s="19">
        <v>1527519</v>
      </c>
    </row>
    <row r="2393" spans="1:8" ht="21.75" customHeight="1" x14ac:dyDescent="0.15">
      <c r="A2393" s="250"/>
      <c r="B2393" s="23" t="s">
        <v>2111</v>
      </c>
      <c r="C2393" s="22">
        <v>56398</v>
      </c>
      <c r="D2393" s="21">
        <v>13196010</v>
      </c>
      <c r="E2393" s="21">
        <v>1119148</v>
      </c>
      <c r="F2393" s="20">
        <v>5165763</v>
      </c>
      <c r="G2393" s="20">
        <v>6542523</v>
      </c>
      <c r="H2393" s="19">
        <v>368575</v>
      </c>
    </row>
    <row r="2394" spans="1:8" ht="21.75" customHeight="1" x14ac:dyDescent="0.15">
      <c r="A2394" s="250"/>
      <c r="B2394" s="23" t="s">
        <v>2112</v>
      </c>
      <c r="C2394" s="22">
        <v>321</v>
      </c>
      <c r="D2394" s="21">
        <v>917565</v>
      </c>
      <c r="E2394" s="21">
        <v>103021</v>
      </c>
      <c r="F2394" s="20">
        <v>566231</v>
      </c>
      <c r="G2394" s="20">
        <v>248313</v>
      </c>
      <c r="H2394" s="19">
        <v>0</v>
      </c>
    </row>
    <row r="2395" spans="1:8" ht="21.75" customHeight="1" x14ac:dyDescent="0.15">
      <c r="A2395" s="250"/>
      <c r="B2395" s="23" t="s">
        <v>2113</v>
      </c>
      <c r="C2395" s="22">
        <v>45</v>
      </c>
      <c r="D2395" s="21">
        <v>229800</v>
      </c>
      <c r="E2395" s="21">
        <v>100829</v>
      </c>
      <c r="F2395" s="20">
        <v>16600</v>
      </c>
      <c r="G2395" s="20">
        <v>81869</v>
      </c>
      <c r="H2395" s="19">
        <v>30502</v>
      </c>
    </row>
    <row r="2396" spans="1:8" ht="21.75" customHeight="1" x14ac:dyDescent="0.15">
      <c r="A2396" s="250"/>
      <c r="B2396" s="23" t="s">
        <v>2114</v>
      </c>
      <c r="C2396" s="22">
        <v>508</v>
      </c>
      <c r="D2396" s="21">
        <v>2531266</v>
      </c>
      <c r="E2396" s="21">
        <v>191224</v>
      </c>
      <c r="F2396" s="20">
        <v>1198032</v>
      </c>
      <c r="G2396" s="20">
        <v>1065115</v>
      </c>
      <c r="H2396" s="19">
        <v>76895</v>
      </c>
    </row>
    <row r="2397" spans="1:8" ht="21.75" customHeight="1" x14ac:dyDescent="0.15">
      <c r="A2397" s="250"/>
      <c r="B2397" s="23" t="s">
        <v>12</v>
      </c>
      <c r="C2397" s="22">
        <v>301</v>
      </c>
      <c r="D2397" s="21">
        <v>8854100</v>
      </c>
      <c r="E2397" s="21">
        <v>968890</v>
      </c>
      <c r="F2397" s="20">
        <v>1901600</v>
      </c>
      <c r="G2397" s="20">
        <v>5168380</v>
      </c>
      <c r="H2397" s="19">
        <v>815230</v>
      </c>
    </row>
    <row r="2398" spans="1:8" ht="21.75" customHeight="1" x14ac:dyDescent="0.15">
      <c r="A2398" s="250"/>
      <c r="B2398" s="23" t="s">
        <v>11</v>
      </c>
      <c r="C2398" s="22">
        <v>64</v>
      </c>
      <c r="D2398" s="21">
        <v>2256450</v>
      </c>
      <c r="E2398" s="21">
        <v>189900</v>
      </c>
      <c r="F2398" s="20">
        <v>745850</v>
      </c>
      <c r="G2398" s="20">
        <v>1088900</v>
      </c>
      <c r="H2398" s="19">
        <v>231800</v>
      </c>
    </row>
    <row r="2399" spans="1:8" ht="21.75" customHeight="1" x14ac:dyDescent="0.15">
      <c r="A2399" s="250"/>
      <c r="B2399" s="23" t="s">
        <v>10</v>
      </c>
      <c r="C2399" s="22">
        <v>0</v>
      </c>
      <c r="D2399" s="21">
        <v>0</v>
      </c>
      <c r="E2399" s="21">
        <v>0</v>
      </c>
      <c r="F2399" s="20">
        <v>0</v>
      </c>
      <c r="G2399" s="20">
        <v>0</v>
      </c>
      <c r="H2399" s="19">
        <v>0</v>
      </c>
    </row>
    <row r="2400" spans="1:8" ht="21.75" customHeight="1" x14ac:dyDescent="0.15">
      <c r="A2400" s="250"/>
      <c r="B2400" s="23" t="s">
        <v>2115</v>
      </c>
      <c r="C2400" s="22">
        <v>0</v>
      </c>
      <c r="D2400" s="21">
        <v>0</v>
      </c>
      <c r="E2400" s="21">
        <v>0</v>
      </c>
      <c r="F2400" s="20">
        <v>0</v>
      </c>
      <c r="G2400" s="20">
        <v>0</v>
      </c>
      <c r="H2400" s="19">
        <v>0</v>
      </c>
    </row>
    <row r="2401" spans="1:8" ht="21.75" customHeight="1" x14ac:dyDescent="0.15">
      <c r="A2401" s="250"/>
      <c r="B2401" s="23" t="s">
        <v>2116</v>
      </c>
      <c r="C2401" s="22">
        <v>1</v>
      </c>
      <c r="D2401" s="21">
        <v>3000</v>
      </c>
      <c r="E2401" s="21">
        <v>100</v>
      </c>
      <c r="F2401" s="20">
        <v>0</v>
      </c>
      <c r="G2401" s="20">
        <v>2100</v>
      </c>
      <c r="H2401" s="19">
        <v>800</v>
      </c>
    </row>
    <row r="2402" spans="1:8" ht="21.75" customHeight="1" x14ac:dyDescent="0.15">
      <c r="A2402" s="251"/>
      <c r="B2402" s="23" t="s">
        <v>2117</v>
      </c>
      <c r="C2402" s="22">
        <v>24</v>
      </c>
      <c r="D2402" s="21">
        <v>16441</v>
      </c>
      <c r="E2402" s="21">
        <v>466</v>
      </c>
      <c r="F2402" s="20">
        <v>14000</v>
      </c>
      <c r="G2402" s="20">
        <v>1975</v>
      </c>
      <c r="H2402" s="19">
        <v>0</v>
      </c>
    </row>
    <row r="2403" spans="1:8" s="60" customFormat="1" ht="21.75" customHeight="1" x14ac:dyDescent="0.15">
      <c r="A2403" s="18" t="s">
        <v>2118</v>
      </c>
      <c r="B2403" s="17" t="s">
        <v>2119</v>
      </c>
      <c r="C2403" s="16">
        <v>3360</v>
      </c>
      <c r="D2403" s="15">
        <v>21341409</v>
      </c>
      <c r="E2403" s="15">
        <v>789100</v>
      </c>
      <c r="F2403" s="14">
        <v>9755036</v>
      </c>
      <c r="G2403" s="14">
        <v>7231873</v>
      </c>
      <c r="H2403" s="13">
        <v>3565400</v>
      </c>
    </row>
    <row r="2404" spans="1:8" ht="21.75" customHeight="1" x14ac:dyDescent="0.15">
      <c r="A2404" s="252" t="s">
        <v>2120</v>
      </c>
      <c r="B2404" s="12" t="s">
        <v>3</v>
      </c>
      <c r="C2404" s="11">
        <v>5872</v>
      </c>
      <c r="D2404" s="10">
        <v>74473329</v>
      </c>
      <c r="E2404" s="10">
        <v>44579693</v>
      </c>
      <c r="F2404" s="9">
        <v>12769913</v>
      </c>
      <c r="G2404" s="9">
        <v>10557555</v>
      </c>
      <c r="H2404" s="8">
        <v>6566167</v>
      </c>
    </row>
    <row r="2405" spans="1:8" ht="21.75" customHeight="1" thickBot="1" x14ac:dyDescent="0.2">
      <c r="A2405" s="253"/>
      <c r="B2405" s="7" t="s">
        <v>1153</v>
      </c>
      <c r="C2405" s="6">
        <v>6529</v>
      </c>
      <c r="D2405" s="5" t="s">
        <v>2121</v>
      </c>
      <c r="E2405" s="5" t="s">
        <v>54</v>
      </c>
      <c r="F2405" s="5" t="s">
        <v>54</v>
      </c>
      <c r="G2405" s="5" t="s">
        <v>54</v>
      </c>
      <c r="H2405" s="4" t="s">
        <v>54</v>
      </c>
    </row>
    <row r="2406" spans="1:8" ht="21.75" customHeight="1" x14ac:dyDescent="0.15">
      <c r="A2406" s="3" t="s">
        <v>1155</v>
      </c>
      <c r="B2406" s="2"/>
      <c r="C2406" s="2"/>
      <c r="D2406" s="2"/>
      <c r="E2406" s="2"/>
      <c r="F2406" s="2"/>
      <c r="G2406" s="2"/>
      <c r="H2406" s="2"/>
    </row>
    <row r="2407" spans="1:8" ht="21.75" customHeight="1" x14ac:dyDescent="0.15">
      <c r="A2407" s="3" t="s">
        <v>2587</v>
      </c>
      <c r="B2407" s="2"/>
      <c r="C2407" s="2"/>
      <c r="D2407" s="2"/>
      <c r="E2407" s="2"/>
      <c r="F2407" s="2"/>
      <c r="G2407" s="2"/>
      <c r="H2407" s="2"/>
    </row>
    <row r="2408" spans="1:8" ht="21.75" customHeight="1" x14ac:dyDescent="0.15">
      <c r="A2408" s="3" t="s">
        <v>1156</v>
      </c>
      <c r="B2408" s="2"/>
      <c r="C2408" s="2"/>
      <c r="D2408" s="2"/>
      <c r="E2408" s="2"/>
      <c r="F2408" s="2"/>
      <c r="G2408" s="2"/>
      <c r="H2408" s="2"/>
    </row>
    <row r="2409" spans="1:8" ht="21.75" customHeight="1" x14ac:dyDescent="0.15">
      <c r="A2409" s="3" t="s">
        <v>2122</v>
      </c>
      <c r="B2409" s="2"/>
      <c r="C2409" s="2"/>
      <c r="D2409" s="2"/>
      <c r="E2409" s="2"/>
      <c r="F2409" s="2"/>
      <c r="G2409" s="2"/>
      <c r="H2409" s="2"/>
    </row>
    <row r="2410" spans="1:8" ht="24" customHeight="1" x14ac:dyDescent="0.15">
      <c r="A2410" s="230" t="s">
        <v>2054</v>
      </c>
      <c r="B2410" s="230"/>
      <c r="C2410" s="230"/>
      <c r="D2410" s="230"/>
      <c r="E2410" s="230"/>
      <c r="F2410" s="230"/>
      <c r="G2410" s="230"/>
      <c r="H2410" s="230"/>
    </row>
    <row r="2411" spans="1:8" ht="21.75" customHeight="1" x14ac:dyDescent="0.15">
      <c r="A2411" s="231"/>
      <c r="B2411" s="231"/>
      <c r="C2411" s="231"/>
      <c r="D2411" s="231"/>
      <c r="E2411" s="231"/>
      <c r="F2411" s="231"/>
      <c r="G2411" s="231"/>
      <c r="H2411" s="231"/>
    </row>
    <row r="2412" spans="1:8" ht="21.75" customHeight="1" thickBot="1" x14ac:dyDescent="0.2">
      <c r="A2412" s="58" t="s">
        <v>48</v>
      </c>
    </row>
    <row r="2413" spans="1:8" ht="21.75" customHeight="1" x14ac:dyDescent="0.15">
      <c r="A2413" s="232" t="s">
        <v>2055</v>
      </c>
      <c r="B2413" s="235" t="s">
        <v>46</v>
      </c>
      <c r="C2413" s="238" t="s">
        <v>2056</v>
      </c>
      <c r="D2413" s="241" t="s">
        <v>2057</v>
      </c>
      <c r="E2413" s="57"/>
      <c r="F2413" s="56"/>
      <c r="G2413" s="56"/>
      <c r="H2413" s="55"/>
    </row>
    <row r="2414" spans="1:8" ht="21.75" customHeight="1" x14ac:dyDescent="0.15">
      <c r="A2414" s="233"/>
      <c r="B2414" s="236"/>
      <c r="C2414" s="239"/>
      <c r="D2414" s="242"/>
      <c r="E2414" s="244" t="s">
        <v>2058</v>
      </c>
      <c r="F2414" s="246" t="s">
        <v>42</v>
      </c>
      <c r="G2414" s="246" t="s">
        <v>41</v>
      </c>
      <c r="H2414" s="248" t="s">
        <v>40</v>
      </c>
    </row>
    <row r="2415" spans="1:8" ht="21.75" customHeight="1" thickBot="1" x14ac:dyDescent="0.2">
      <c r="A2415" s="234"/>
      <c r="B2415" s="237"/>
      <c r="C2415" s="240"/>
      <c r="D2415" s="243"/>
      <c r="E2415" s="245"/>
      <c r="F2415" s="247"/>
      <c r="G2415" s="247"/>
      <c r="H2415" s="249"/>
    </row>
    <row r="2416" spans="1:8" ht="21.75" customHeight="1" thickTop="1" x14ac:dyDescent="0.15">
      <c r="A2416" s="54"/>
      <c r="B2416" s="53"/>
      <c r="C2416" s="52"/>
      <c r="D2416" s="51" t="s">
        <v>2059</v>
      </c>
      <c r="E2416" s="50" t="s">
        <v>39</v>
      </c>
      <c r="F2416" s="49" t="s">
        <v>39</v>
      </c>
      <c r="G2416" s="49" t="s">
        <v>2060</v>
      </c>
      <c r="H2416" s="48" t="s">
        <v>2061</v>
      </c>
    </row>
    <row r="2417" spans="1:8" ht="21.75" customHeight="1" x14ac:dyDescent="0.15">
      <c r="A2417" s="250" t="s">
        <v>2062</v>
      </c>
      <c r="B2417" s="61" t="s">
        <v>37</v>
      </c>
      <c r="C2417" s="62">
        <v>3782</v>
      </c>
      <c r="D2417" s="63">
        <v>621227591</v>
      </c>
      <c r="E2417" s="63">
        <v>237048174</v>
      </c>
      <c r="F2417" s="64">
        <v>189361358</v>
      </c>
      <c r="G2417" s="64">
        <v>191322964</v>
      </c>
      <c r="H2417" s="65">
        <v>3495094</v>
      </c>
    </row>
    <row r="2418" spans="1:8" ht="21.75" customHeight="1" x14ac:dyDescent="0.15">
      <c r="A2418" s="250"/>
      <c r="B2418" s="66" t="s">
        <v>36</v>
      </c>
      <c r="C2418" s="67">
        <v>23</v>
      </c>
      <c r="D2418" s="68">
        <v>296361</v>
      </c>
      <c r="E2418" s="68">
        <v>74833</v>
      </c>
      <c r="F2418" s="69">
        <v>195033</v>
      </c>
      <c r="G2418" s="69">
        <v>26494</v>
      </c>
      <c r="H2418" s="70">
        <v>0</v>
      </c>
    </row>
    <row r="2419" spans="1:8" ht="21.75" customHeight="1" x14ac:dyDescent="0.15">
      <c r="A2419" s="250"/>
      <c r="B2419" s="66" t="s">
        <v>2063</v>
      </c>
      <c r="C2419" s="67">
        <v>107</v>
      </c>
      <c r="D2419" s="68">
        <v>336</v>
      </c>
      <c r="E2419" s="68">
        <v>305</v>
      </c>
      <c r="F2419" s="69">
        <v>7</v>
      </c>
      <c r="G2419" s="69">
        <v>23</v>
      </c>
      <c r="H2419" s="70">
        <v>0</v>
      </c>
    </row>
    <row r="2420" spans="1:8" ht="21.75" customHeight="1" x14ac:dyDescent="0.15">
      <c r="A2420" s="250"/>
      <c r="B2420" s="71" t="s">
        <v>2064</v>
      </c>
      <c r="C2420" s="72">
        <v>1</v>
      </c>
      <c r="D2420" s="73">
        <v>168981</v>
      </c>
      <c r="E2420" s="73">
        <v>126443</v>
      </c>
      <c r="F2420" s="74">
        <v>8278</v>
      </c>
      <c r="G2420" s="74">
        <v>30863</v>
      </c>
      <c r="H2420" s="75">
        <v>3396</v>
      </c>
    </row>
    <row r="2421" spans="1:8" ht="21.75" customHeight="1" x14ac:dyDescent="0.15">
      <c r="A2421" s="250"/>
      <c r="B2421" s="66" t="s">
        <v>33</v>
      </c>
      <c r="C2421" s="67">
        <v>69</v>
      </c>
      <c r="D2421" s="68">
        <v>15267518</v>
      </c>
      <c r="E2421" s="68">
        <v>4036159</v>
      </c>
      <c r="F2421" s="69">
        <v>4287882</v>
      </c>
      <c r="G2421" s="69">
        <v>6808817</v>
      </c>
      <c r="H2421" s="70">
        <v>134659</v>
      </c>
    </row>
    <row r="2422" spans="1:8" ht="21.75" customHeight="1" x14ac:dyDescent="0.15">
      <c r="A2422" s="250"/>
      <c r="B2422" s="76" t="s">
        <v>2065</v>
      </c>
      <c r="C2422" s="67">
        <v>194</v>
      </c>
      <c r="D2422" s="68">
        <v>38276229</v>
      </c>
      <c r="E2422" s="68">
        <v>3700094</v>
      </c>
      <c r="F2422" s="69">
        <v>1361669</v>
      </c>
      <c r="G2422" s="69">
        <v>33180583</v>
      </c>
      <c r="H2422" s="70">
        <v>33881</v>
      </c>
    </row>
    <row r="2423" spans="1:8" ht="21.75" customHeight="1" x14ac:dyDescent="0.15">
      <c r="A2423" s="251"/>
      <c r="B2423" s="77" t="s">
        <v>31</v>
      </c>
      <c r="C2423" s="72">
        <v>41</v>
      </c>
      <c r="D2423" s="73">
        <v>231354</v>
      </c>
      <c r="E2423" s="73">
        <v>196348</v>
      </c>
      <c r="F2423" s="74">
        <v>3610</v>
      </c>
      <c r="G2423" s="74">
        <v>31065</v>
      </c>
      <c r="H2423" s="75">
        <v>330</v>
      </c>
    </row>
    <row r="2424" spans="1:8" ht="21.75" customHeight="1" x14ac:dyDescent="0.15">
      <c r="A2424" s="30" t="s">
        <v>2066</v>
      </c>
      <c r="B2424" s="78" t="s">
        <v>29</v>
      </c>
      <c r="C2424" s="79">
        <v>29</v>
      </c>
      <c r="D2424" s="80">
        <v>106998</v>
      </c>
      <c r="E2424" s="80">
        <v>104487</v>
      </c>
      <c r="F2424" s="81">
        <v>1256</v>
      </c>
      <c r="G2424" s="81">
        <v>722</v>
      </c>
      <c r="H2424" s="82">
        <v>531</v>
      </c>
    </row>
    <row r="2425" spans="1:8" ht="21.75" customHeight="1" x14ac:dyDescent="0.15">
      <c r="A2425" s="252" t="s">
        <v>2067</v>
      </c>
      <c r="B2425" s="17" t="s">
        <v>27</v>
      </c>
      <c r="C2425" s="16">
        <v>3186</v>
      </c>
      <c r="D2425" s="83">
        <v>61813752</v>
      </c>
      <c r="E2425" s="83">
        <v>9662573</v>
      </c>
      <c r="F2425" s="84">
        <v>13130605</v>
      </c>
      <c r="G2425" s="84">
        <v>31015918</v>
      </c>
      <c r="H2425" s="85">
        <v>8004655</v>
      </c>
    </row>
    <row r="2426" spans="1:8" ht="21.75" customHeight="1" x14ac:dyDescent="0.15">
      <c r="A2426" s="250"/>
      <c r="B2426" s="23" t="s">
        <v>2068</v>
      </c>
      <c r="C2426" s="22">
        <v>3283</v>
      </c>
      <c r="D2426" s="86">
        <v>14448820</v>
      </c>
      <c r="E2426" s="86">
        <v>654180</v>
      </c>
      <c r="F2426" s="87">
        <v>4626318</v>
      </c>
      <c r="G2426" s="87">
        <v>7503201</v>
      </c>
      <c r="H2426" s="88">
        <v>1665120</v>
      </c>
    </row>
    <row r="2427" spans="1:8" ht="21.75" customHeight="1" x14ac:dyDescent="0.15">
      <c r="A2427" s="250"/>
      <c r="B2427" s="24" t="s">
        <v>25</v>
      </c>
      <c r="C2427" s="22">
        <v>631</v>
      </c>
      <c r="D2427" s="86">
        <v>29619970</v>
      </c>
      <c r="E2427" s="86">
        <v>2083933</v>
      </c>
      <c r="F2427" s="87">
        <v>9758707</v>
      </c>
      <c r="G2427" s="87">
        <v>13678223</v>
      </c>
      <c r="H2427" s="88">
        <v>4099105</v>
      </c>
    </row>
    <row r="2428" spans="1:8" ht="21.75" customHeight="1" x14ac:dyDescent="0.15">
      <c r="A2428" s="250"/>
      <c r="B2428" s="23" t="s">
        <v>24</v>
      </c>
      <c r="C2428" s="22">
        <v>1796</v>
      </c>
      <c r="D2428" s="86">
        <v>52372800</v>
      </c>
      <c r="E2428" s="86">
        <v>5296065</v>
      </c>
      <c r="F2428" s="87">
        <v>11332324</v>
      </c>
      <c r="G2428" s="87">
        <v>31370731</v>
      </c>
      <c r="H2428" s="88">
        <v>4373679</v>
      </c>
    </row>
    <row r="2429" spans="1:8" ht="21.75" customHeight="1" x14ac:dyDescent="0.15">
      <c r="A2429" s="250"/>
      <c r="B2429" s="23" t="s">
        <v>23</v>
      </c>
      <c r="C2429" s="22">
        <v>377</v>
      </c>
      <c r="D2429" s="86">
        <v>4699272</v>
      </c>
      <c r="E2429" s="86">
        <v>350852</v>
      </c>
      <c r="F2429" s="87">
        <v>70036</v>
      </c>
      <c r="G2429" s="87">
        <v>4239851</v>
      </c>
      <c r="H2429" s="88">
        <v>38532</v>
      </c>
    </row>
    <row r="2430" spans="1:8" ht="21.75" customHeight="1" x14ac:dyDescent="0.15">
      <c r="A2430" s="250"/>
      <c r="B2430" s="23" t="s">
        <v>2069</v>
      </c>
      <c r="C2430" s="22">
        <v>134</v>
      </c>
      <c r="D2430" s="86">
        <v>1205800</v>
      </c>
      <c r="E2430" s="86">
        <v>288270</v>
      </c>
      <c r="F2430" s="87">
        <v>96800</v>
      </c>
      <c r="G2430" s="87">
        <v>525730</v>
      </c>
      <c r="H2430" s="88">
        <v>295000</v>
      </c>
    </row>
    <row r="2431" spans="1:8" ht="21.75" customHeight="1" x14ac:dyDescent="0.15">
      <c r="A2431" s="250"/>
      <c r="B2431" s="23" t="s">
        <v>21</v>
      </c>
      <c r="C2431" s="22">
        <v>26</v>
      </c>
      <c r="D2431" s="86">
        <v>189221</v>
      </c>
      <c r="E2431" s="86">
        <v>116514</v>
      </c>
      <c r="F2431" s="87">
        <v>12097</v>
      </c>
      <c r="G2431" s="87">
        <v>26359</v>
      </c>
      <c r="H2431" s="88">
        <v>34251</v>
      </c>
    </row>
    <row r="2432" spans="1:8" ht="21.75" customHeight="1" x14ac:dyDescent="0.15">
      <c r="A2432" s="250"/>
      <c r="B2432" s="23" t="s">
        <v>2070</v>
      </c>
      <c r="C2432" s="22">
        <v>0</v>
      </c>
      <c r="D2432" s="86">
        <v>0</v>
      </c>
      <c r="E2432" s="86">
        <v>0</v>
      </c>
      <c r="F2432" s="87">
        <v>0</v>
      </c>
      <c r="G2432" s="87">
        <v>0</v>
      </c>
      <c r="H2432" s="88">
        <v>0</v>
      </c>
    </row>
    <row r="2433" spans="1:8" ht="21.75" customHeight="1" x14ac:dyDescent="0.15">
      <c r="A2433" s="250"/>
      <c r="B2433" s="23" t="s">
        <v>2071</v>
      </c>
      <c r="C2433" s="22">
        <v>241</v>
      </c>
      <c r="D2433" s="86">
        <v>7689710</v>
      </c>
      <c r="E2433" s="86">
        <v>693670</v>
      </c>
      <c r="F2433" s="87">
        <v>2800670</v>
      </c>
      <c r="G2433" s="87">
        <v>3025210</v>
      </c>
      <c r="H2433" s="88">
        <v>1170160</v>
      </c>
    </row>
    <row r="2434" spans="1:8" ht="21.75" customHeight="1" x14ac:dyDescent="0.15">
      <c r="A2434" s="250"/>
      <c r="B2434" s="23" t="s">
        <v>18</v>
      </c>
      <c r="C2434" s="22">
        <v>3382</v>
      </c>
      <c r="D2434" s="86">
        <v>65766039</v>
      </c>
      <c r="E2434" s="86">
        <v>15545078</v>
      </c>
      <c r="F2434" s="87">
        <v>10340127</v>
      </c>
      <c r="G2434" s="87">
        <v>32049996</v>
      </c>
      <c r="H2434" s="88">
        <v>7830837</v>
      </c>
    </row>
    <row r="2435" spans="1:8" ht="21.75" customHeight="1" x14ac:dyDescent="0.15">
      <c r="A2435" s="250"/>
      <c r="B2435" s="23" t="s">
        <v>2072</v>
      </c>
      <c r="C2435" s="22">
        <v>645</v>
      </c>
      <c r="D2435" s="86">
        <v>15232360</v>
      </c>
      <c r="E2435" s="86">
        <v>2943364</v>
      </c>
      <c r="F2435" s="87">
        <v>2831167</v>
      </c>
      <c r="G2435" s="87">
        <v>7928918</v>
      </c>
      <c r="H2435" s="88">
        <v>1528909</v>
      </c>
    </row>
    <row r="2436" spans="1:8" ht="21.75" customHeight="1" x14ac:dyDescent="0.15">
      <c r="A2436" s="250"/>
      <c r="B2436" s="23" t="s">
        <v>2073</v>
      </c>
      <c r="C2436" s="22">
        <v>56021</v>
      </c>
      <c r="D2436" s="86">
        <v>13186878</v>
      </c>
      <c r="E2436" s="86">
        <v>1120548</v>
      </c>
      <c r="F2436" s="87">
        <v>5168534</v>
      </c>
      <c r="G2436" s="87">
        <v>6524010</v>
      </c>
      <c r="H2436" s="88">
        <v>373785</v>
      </c>
    </row>
    <row r="2437" spans="1:8" ht="21.75" customHeight="1" x14ac:dyDescent="0.15">
      <c r="A2437" s="250"/>
      <c r="B2437" s="23" t="s">
        <v>15</v>
      </c>
      <c r="C2437" s="22">
        <v>322</v>
      </c>
      <c r="D2437" s="86">
        <v>921230</v>
      </c>
      <c r="E2437" s="86">
        <v>103021</v>
      </c>
      <c r="F2437" s="87">
        <v>569896</v>
      </c>
      <c r="G2437" s="87">
        <v>248313</v>
      </c>
      <c r="H2437" s="88">
        <v>0</v>
      </c>
    </row>
    <row r="2438" spans="1:8" ht="21.75" customHeight="1" x14ac:dyDescent="0.15">
      <c r="A2438" s="250"/>
      <c r="B2438" s="23" t="s">
        <v>14</v>
      </c>
      <c r="C2438" s="22">
        <v>45</v>
      </c>
      <c r="D2438" s="86">
        <v>229800</v>
      </c>
      <c r="E2438" s="86">
        <v>101131</v>
      </c>
      <c r="F2438" s="87">
        <v>16600</v>
      </c>
      <c r="G2438" s="87">
        <v>81668</v>
      </c>
      <c r="H2438" s="88">
        <v>30401</v>
      </c>
    </row>
    <row r="2439" spans="1:8" ht="21.75" customHeight="1" x14ac:dyDescent="0.15">
      <c r="A2439" s="250"/>
      <c r="B2439" s="23" t="s">
        <v>13</v>
      </c>
      <c r="C2439" s="22">
        <v>513</v>
      </c>
      <c r="D2439" s="86">
        <v>2500073</v>
      </c>
      <c r="E2439" s="86">
        <v>193364</v>
      </c>
      <c r="F2439" s="87">
        <v>1202572</v>
      </c>
      <c r="G2439" s="87">
        <v>1027242</v>
      </c>
      <c r="H2439" s="88">
        <v>76895</v>
      </c>
    </row>
    <row r="2440" spans="1:8" ht="21.75" customHeight="1" x14ac:dyDescent="0.15">
      <c r="A2440" s="250"/>
      <c r="B2440" s="23" t="s">
        <v>12</v>
      </c>
      <c r="C2440" s="22">
        <v>298</v>
      </c>
      <c r="D2440" s="86">
        <v>8779100</v>
      </c>
      <c r="E2440" s="86">
        <v>879870</v>
      </c>
      <c r="F2440" s="87">
        <v>1863600</v>
      </c>
      <c r="G2440" s="87">
        <v>5219600</v>
      </c>
      <c r="H2440" s="88">
        <v>816030</v>
      </c>
    </row>
    <row r="2441" spans="1:8" ht="21.75" customHeight="1" x14ac:dyDescent="0.15">
      <c r="A2441" s="250"/>
      <c r="B2441" s="23" t="s">
        <v>2074</v>
      </c>
      <c r="C2441" s="22">
        <v>64</v>
      </c>
      <c r="D2441" s="86">
        <v>2256450</v>
      </c>
      <c r="E2441" s="86">
        <v>145000</v>
      </c>
      <c r="F2441" s="87">
        <v>745450</v>
      </c>
      <c r="G2441" s="87">
        <v>1133900</v>
      </c>
      <c r="H2441" s="88">
        <v>232100</v>
      </c>
    </row>
    <row r="2442" spans="1:8" ht="21.75" customHeight="1" x14ac:dyDescent="0.15">
      <c r="A2442" s="250"/>
      <c r="B2442" s="23" t="s">
        <v>10</v>
      </c>
      <c r="C2442" s="22">
        <v>0</v>
      </c>
      <c r="D2442" s="86">
        <v>0</v>
      </c>
      <c r="E2442" s="86">
        <v>0</v>
      </c>
      <c r="F2442" s="87">
        <v>0</v>
      </c>
      <c r="G2442" s="87">
        <v>0</v>
      </c>
      <c r="H2442" s="88">
        <v>0</v>
      </c>
    </row>
    <row r="2443" spans="1:8" s="60" customFormat="1" ht="21.75" customHeight="1" x14ac:dyDescent="0.15">
      <c r="A2443" s="250"/>
      <c r="B2443" s="23" t="s">
        <v>9</v>
      </c>
      <c r="C2443" s="22">
        <v>0</v>
      </c>
      <c r="D2443" s="86">
        <v>0</v>
      </c>
      <c r="E2443" s="86">
        <v>0</v>
      </c>
      <c r="F2443" s="87">
        <v>0</v>
      </c>
      <c r="G2443" s="87">
        <v>0</v>
      </c>
      <c r="H2443" s="88">
        <v>0</v>
      </c>
    </row>
    <row r="2444" spans="1:8" ht="21.75" customHeight="1" x14ac:dyDescent="0.15">
      <c r="A2444" s="250"/>
      <c r="B2444" s="23" t="s">
        <v>2075</v>
      </c>
      <c r="C2444" s="22">
        <v>1</v>
      </c>
      <c r="D2444" s="86">
        <v>3000</v>
      </c>
      <c r="E2444" s="86">
        <v>100</v>
      </c>
      <c r="F2444" s="87">
        <v>0</v>
      </c>
      <c r="G2444" s="87">
        <v>2100</v>
      </c>
      <c r="H2444" s="88">
        <v>800</v>
      </c>
    </row>
    <row r="2445" spans="1:8" ht="21.75" customHeight="1" x14ac:dyDescent="0.15">
      <c r="A2445" s="251"/>
      <c r="B2445" s="23" t="s">
        <v>7</v>
      </c>
      <c r="C2445" s="22">
        <v>24</v>
      </c>
      <c r="D2445" s="86">
        <v>16441</v>
      </c>
      <c r="E2445" s="86">
        <v>466</v>
      </c>
      <c r="F2445" s="87">
        <v>14000</v>
      </c>
      <c r="G2445" s="87">
        <v>1975</v>
      </c>
      <c r="H2445" s="88">
        <v>0</v>
      </c>
    </row>
    <row r="2446" spans="1:8" ht="21.75" customHeight="1" x14ac:dyDescent="0.15">
      <c r="A2446" s="18" t="s">
        <v>6</v>
      </c>
      <c r="B2446" s="17" t="s">
        <v>2076</v>
      </c>
      <c r="C2446" s="16">
        <v>3420</v>
      </c>
      <c r="D2446" s="80">
        <v>21582269</v>
      </c>
      <c r="E2446" s="80">
        <v>800600</v>
      </c>
      <c r="F2446" s="81">
        <v>10046422</v>
      </c>
      <c r="G2446" s="81">
        <v>7270905</v>
      </c>
      <c r="H2446" s="82">
        <v>3464342</v>
      </c>
    </row>
    <row r="2447" spans="1:8" ht="21.75" customHeight="1" x14ac:dyDescent="0.15">
      <c r="A2447" s="252" t="s">
        <v>4</v>
      </c>
      <c r="B2447" s="12" t="s">
        <v>2077</v>
      </c>
      <c r="C2447" s="11">
        <v>5888</v>
      </c>
      <c r="D2447" s="89">
        <v>76405567</v>
      </c>
      <c r="E2447" s="89">
        <v>46066091</v>
      </c>
      <c r="F2447" s="90">
        <v>12923956</v>
      </c>
      <c r="G2447" s="90">
        <v>10723632</v>
      </c>
      <c r="H2447" s="91">
        <v>6691886</v>
      </c>
    </row>
    <row r="2448" spans="1:8" ht="21.75" customHeight="1" thickBot="1" x14ac:dyDescent="0.2">
      <c r="A2448" s="253"/>
      <c r="B2448" s="7" t="s">
        <v>2078</v>
      </c>
      <c r="C2448" s="6">
        <v>6488</v>
      </c>
      <c r="D2448" s="92" t="s">
        <v>54</v>
      </c>
      <c r="E2448" s="92" t="s">
        <v>54</v>
      </c>
      <c r="F2448" s="92" t="s">
        <v>54</v>
      </c>
      <c r="G2448" s="92" t="s">
        <v>54</v>
      </c>
      <c r="H2448" s="93" t="s">
        <v>54</v>
      </c>
    </row>
    <row r="2449" spans="1:8" ht="24" customHeight="1" x14ac:dyDescent="0.15">
      <c r="A2449" s="3" t="s">
        <v>1155</v>
      </c>
      <c r="B2449" s="2"/>
      <c r="C2449" s="2"/>
      <c r="D2449" s="2"/>
      <c r="E2449" s="2"/>
      <c r="F2449" s="2"/>
      <c r="G2449" s="2"/>
      <c r="H2449" s="2"/>
    </row>
    <row r="2450" spans="1:8" ht="24" customHeight="1" x14ac:dyDescent="0.15">
      <c r="A2450" s="3" t="s">
        <v>2587</v>
      </c>
      <c r="B2450" s="2"/>
      <c r="C2450" s="2"/>
      <c r="D2450" s="2"/>
      <c r="E2450" s="2"/>
      <c r="F2450" s="2"/>
      <c r="G2450" s="2"/>
      <c r="H2450" s="2"/>
    </row>
    <row r="2451" spans="1:8" ht="24" customHeight="1" x14ac:dyDescent="0.15">
      <c r="A2451" s="3" t="s">
        <v>2079</v>
      </c>
      <c r="B2451" s="2"/>
      <c r="C2451" s="2"/>
      <c r="D2451" s="2"/>
      <c r="E2451" s="2"/>
      <c r="F2451" s="2"/>
      <c r="G2451" s="2"/>
      <c r="H2451" s="2"/>
    </row>
    <row r="2452" spans="1:8" ht="24" customHeight="1" x14ac:dyDescent="0.15">
      <c r="A2452" s="3" t="s">
        <v>2080</v>
      </c>
      <c r="B2452" s="2"/>
      <c r="C2452" s="2"/>
      <c r="D2452" s="2"/>
      <c r="E2452" s="2"/>
      <c r="F2452" s="2"/>
      <c r="G2452" s="2"/>
      <c r="H2452" s="2"/>
    </row>
    <row r="2453" spans="1:8" ht="24" customHeight="1" x14ac:dyDescent="0.15">
      <c r="A2453" s="230" t="s">
        <v>2020</v>
      </c>
      <c r="B2453" s="230"/>
      <c r="C2453" s="230"/>
      <c r="D2453" s="230"/>
      <c r="E2453" s="230"/>
      <c r="F2453" s="230"/>
      <c r="G2453" s="230"/>
      <c r="H2453" s="230"/>
    </row>
    <row r="2454" spans="1:8" ht="24" customHeight="1" x14ac:dyDescent="0.15">
      <c r="A2454" s="231"/>
      <c r="B2454" s="231"/>
      <c r="C2454" s="231"/>
      <c r="D2454" s="231"/>
      <c r="E2454" s="231"/>
      <c r="F2454" s="231"/>
      <c r="G2454" s="231"/>
      <c r="H2454" s="231"/>
    </row>
    <row r="2455" spans="1:8" ht="24" customHeight="1" thickBot="1" x14ac:dyDescent="0.2">
      <c r="A2455" s="58" t="s">
        <v>48</v>
      </c>
    </row>
    <row r="2456" spans="1:8" ht="24" customHeight="1" x14ac:dyDescent="0.15">
      <c r="A2456" s="232" t="s">
        <v>47</v>
      </c>
      <c r="B2456" s="235" t="s">
        <v>46</v>
      </c>
      <c r="C2456" s="238" t="s">
        <v>2021</v>
      </c>
      <c r="D2456" s="241" t="s">
        <v>2022</v>
      </c>
      <c r="E2456" s="57"/>
      <c r="F2456" s="56"/>
      <c r="G2456" s="56"/>
      <c r="H2456" s="55"/>
    </row>
    <row r="2457" spans="1:8" ht="24" customHeight="1" x14ac:dyDescent="0.15">
      <c r="A2457" s="233"/>
      <c r="B2457" s="236"/>
      <c r="C2457" s="239"/>
      <c r="D2457" s="242"/>
      <c r="E2457" s="244" t="s">
        <v>2023</v>
      </c>
      <c r="F2457" s="246" t="s">
        <v>42</v>
      </c>
      <c r="G2457" s="246" t="s">
        <v>41</v>
      </c>
      <c r="H2457" s="248" t="s">
        <v>40</v>
      </c>
    </row>
    <row r="2458" spans="1:8" ht="24" customHeight="1" thickBot="1" x14ac:dyDescent="0.2">
      <c r="A2458" s="234"/>
      <c r="B2458" s="237"/>
      <c r="C2458" s="240"/>
      <c r="D2458" s="243"/>
      <c r="E2458" s="245"/>
      <c r="F2458" s="247"/>
      <c r="G2458" s="247"/>
      <c r="H2458" s="249"/>
    </row>
    <row r="2459" spans="1:8" ht="24" customHeight="1" thickTop="1" x14ac:dyDescent="0.15">
      <c r="A2459" s="54"/>
      <c r="B2459" s="53"/>
      <c r="C2459" s="52"/>
      <c r="D2459" s="51" t="s">
        <v>2024</v>
      </c>
      <c r="E2459" s="50" t="s">
        <v>2024</v>
      </c>
      <c r="F2459" s="49" t="s">
        <v>2025</v>
      </c>
      <c r="G2459" s="49" t="s">
        <v>39</v>
      </c>
      <c r="H2459" s="48" t="s">
        <v>2024</v>
      </c>
    </row>
    <row r="2460" spans="1:8" ht="24" customHeight="1" x14ac:dyDescent="0.15">
      <c r="A2460" s="250" t="s">
        <v>2026</v>
      </c>
      <c r="B2460" s="61" t="s">
        <v>2027</v>
      </c>
      <c r="C2460" s="62">
        <v>3781</v>
      </c>
      <c r="D2460" s="63">
        <v>615297082</v>
      </c>
      <c r="E2460" s="63">
        <v>236379682</v>
      </c>
      <c r="F2460" s="64">
        <v>185334601</v>
      </c>
      <c r="G2460" s="64">
        <v>190139155</v>
      </c>
      <c r="H2460" s="65">
        <v>3443641</v>
      </c>
    </row>
    <row r="2461" spans="1:8" ht="24" customHeight="1" x14ac:dyDescent="0.15">
      <c r="A2461" s="250"/>
      <c r="B2461" s="66" t="s">
        <v>2028</v>
      </c>
      <c r="C2461" s="67">
        <v>24</v>
      </c>
      <c r="D2461" s="68">
        <v>289538</v>
      </c>
      <c r="E2461" s="68">
        <v>77970</v>
      </c>
      <c r="F2461" s="69">
        <v>184871</v>
      </c>
      <c r="G2461" s="69">
        <v>26697</v>
      </c>
      <c r="H2461" s="70">
        <v>0</v>
      </c>
    </row>
    <row r="2462" spans="1:8" ht="24" customHeight="1" x14ac:dyDescent="0.15">
      <c r="A2462" s="250"/>
      <c r="B2462" s="66" t="s">
        <v>35</v>
      </c>
      <c r="C2462" s="67">
        <v>109</v>
      </c>
      <c r="D2462" s="68">
        <v>0</v>
      </c>
      <c r="E2462" s="68">
        <v>0</v>
      </c>
      <c r="F2462" s="69">
        <v>0</v>
      </c>
      <c r="G2462" s="69">
        <v>0</v>
      </c>
      <c r="H2462" s="70">
        <v>0</v>
      </c>
    </row>
    <row r="2463" spans="1:8" ht="24" customHeight="1" x14ac:dyDescent="0.15">
      <c r="A2463" s="250"/>
      <c r="B2463" s="71" t="s">
        <v>2029</v>
      </c>
      <c r="C2463" s="72">
        <v>1</v>
      </c>
      <c r="D2463" s="73">
        <v>168627</v>
      </c>
      <c r="E2463" s="73">
        <v>126185</v>
      </c>
      <c r="F2463" s="74">
        <v>8254</v>
      </c>
      <c r="G2463" s="74">
        <v>30798</v>
      </c>
      <c r="H2463" s="75">
        <v>3388</v>
      </c>
    </row>
    <row r="2464" spans="1:8" ht="24" customHeight="1" x14ac:dyDescent="0.15">
      <c r="A2464" s="250"/>
      <c r="B2464" s="66" t="s">
        <v>2030</v>
      </c>
      <c r="C2464" s="67">
        <v>69</v>
      </c>
      <c r="D2464" s="68">
        <v>14636207</v>
      </c>
      <c r="E2464" s="68">
        <v>3894517</v>
      </c>
      <c r="F2464" s="69">
        <v>4116155</v>
      </c>
      <c r="G2464" s="69">
        <v>6530729</v>
      </c>
      <c r="H2464" s="70">
        <v>94805</v>
      </c>
    </row>
    <row r="2465" spans="1:8" ht="24" customHeight="1" x14ac:dyDescent="0.15">
      <c r="A2465" s="250"/>
      <c r="B2465" s="76" t="s">
        <v>2031</v>
      </c>
      <c r="C2465" s="67">
        <v>193</v>
      </c>
      <c r="D2465" s="68">
        <v>38236993</v>
      </c>
      <c r="E2465" s="68">
        <v>3680755</v>
      </c>
      <c r="F2465" s="69">
        <v>1435346</v>
      </c>
      <c r="G2465" s="69">
        <v>33088654</v>
      </c>
      <c r="H2465" s="70">
        <v>32236</v>
      </c>
    </row>
    <row r="2466" spans="1:8" ht="24" customHeight="1" x14ac:dyDescent="0.15">
      <c r="A2466" s="251"/>
      <c r="B2466" s="77" t="s">
        <v>2032</v>
      </c>
      <c r="C2466" s="72">
        <v>40</v>
      </c>
      <c r="D2466" s="73">
        <v>224920</v>
      </c>
      <c r="E2466" s="73">
        <v>190222</v>
      </c>
      <c r="F2466" s="74">
        <v>3271</v>
      </c>
      <c r="G2466" s="74">
        <v>31069</v>
      </c>
      <c r="H2466" s="75">
        <v>356</v>
      </c>
    </row>
    <row r="2467" spans="1:8" ht="24" customHeight="1" x14ac:dyDescent="0.15">
      <c r="A2467" s="30" t="s">
        <v>2033</v>
      </c>
      <c r="B2467" s="78" t="s">
        <v>2034</v>
      </c>
      <c r="C2467" s="79">
        <v>29</v>
      </c>
      <c r="D2467" s="80">
        <v>105355</v>
      </c>
      <c r="E2467" s="80">
        <v>103119</v>
      </c>
      <c r="F2467" s="81">
        <v>928</v>
      </c>
      <c r="G2467" s="81">
        <v>715</v>
      </c>
      <c r="H2467" s="82">
        <v>592</v>
      </c>
    </row>
    <row r="2468" spans="1:8" ht="24" customHeight="1" x14ac:dyDescent="0.15">
      <c r="A2468" s="252" t="s">
        <v>28</v>
      </c>
      <c r="B2468" s="17" t="s">
        <v>27</v>
      </c>
      <c r="C2468" s="16">
        <v>3170</v>
      </c>
      <c r="D2468" s="83">
        <v>61576752</v>
      </c>
      <c r="E2468" s="83">
        <v>9635794</v>
      </c>
      <c r="F2468" s="84">
        <v>12868505</v>
      </c>
      <c r="G2468" s="84">
        <v>31090039</v>
      </c>
      <c r="H2468" s="85">
        <v>7982412</v>
      </c>
    </row>
    <row r="2469" spans="1:8" ht="24" customHeight="1" x14ac:dyDescent="0.15">
      <c r="A2469" s="250"/>
      <c r="B2469" s="23" t="s">
        <v>2035</v>
      </c>
      <c r="C2469" s="22">
        <v>3274</v>
      </c>
      <c r="D2469" s="86">
        <v>14422820</v>
      </c>
      <c r="E2469" s="86">
        <v>656553</v>
      </c>
      <c r="F2469" s="87">
        <v>4429057</v>
      </c>
      <c r="G2469" s="87">
        <v>7679162</v>
      </c>
      <c r="H2469" s="88">
        <v>1658046</v>
      </c>
    </row>
    <row r="2470" spans="1:8" ht="24" customHeight="1" x14ac:dyDescent="0.15">
      <c r="A2470" s="250"/>
      <c r="B2470" s="24" t="s">
        <v>2036</v>
      </c>
      <c r="C2470" s="22">
        <v>632</v>
      </c>
      <c r="D2470" s="86">
        <v>29799970</v>
      </c>
      <c r="E2470" s="86">
        <v>2093664</v>
      </c>
      <c r="F2470" s="87">
        <v>9707223</v>
      </c>
      <c r="G2470" s="87">
        <v>13788687</v>
      </c>
      <c r="H2470" s="88">
        <v>4210394</v>
      </c>
    </row>
    <row r="2471" spans="1:8" ht="24" customHeight="1" x14ac:dyDescent="0.15">
      <c r="A2471" s="250"/>
      <c r="B2471" s="23" t="s">
        <v>24</v>
      </c>
      <c r="C2471" s="22">
        <v>1770</v>
      </c>
      <c r="D2471" s="86">
        <v>51966900</v>
      </c>
      <c r="E2471" s="86">
        <v>5382915</v>
      </c>
      <c r="F2471" s="87">
        <v>11055644</v>
      </c>
      <c r="G2471" s="87">
        <v>31185161</v>
      </c>
      <c r="H2471" s="88">
        <v>4343179</v>
      </c>
    </row>
    <row r="2472" spans="1:8" ht="24" customHeight="1" x14ac:dyDescent="0.15">
      <c r="A2472" s="250"/>
      <c r="B2472" s="23" t="s">
        <v>23</v>
      </c>
      <c r="C2472" s="22">
        <v>372</v>
      </c>
      <c r="D2472" s="86">
        <v>4672272</v>
      </c>
      <c r="E2472" s="86">
        <v>343163</v>
      </c>
      <c r="F2472" s="87">
        <v>70644</v>
      </c>
      <c r="G2472" s="87">
        <v>4219932</v>
      </c>
      <c r="H2472" s="88">
        <v>38532</v>
      </c>
    </row>
    <row r="2473" spans="1:8" ht="24" customHeight="1" x14ac:dyDescent="0.15">
      <c r="A2473" s="250"/>
      <c r="B2473" s="23" t="s">
        <v>2037</v>
      </c>
      <c r="C2473" s="22">
        <v>135</v>
      </c>
      <c r="D2473" s="86">
        <v>1215800</v>
      </c>
      <c r="E2473" s="86">
        <v>292920</v>
      </c>
      <c r="F2473" s="87">
        <v>96200</v>
      </c>
      <c r="G2473" s="87">
        <v>528280</v>
      </c>
      <c r="H2473" s="88">
        <v>298400</v>
      </c>
    </row>
    <row r="2474" spans="1:8" ht="24" customHeight="1" x14ac:dyDescent="0.15">
      <c r="A2474" s="250"/>
      <c r="B2474" s="23" t="s">
        <v>21</v>
      </c>
      <c r="C2474" s="22">
        <v>27</v>
      </c>
      <c r="D2474" s="86">
        <v>194421</v>
      </c>
      <c r="E2474" s="86">
        <v>121484</v>
      </c>
      <c r="F2474" s="87">
        <v>12377</v>
      </c>
      <c r="G2474" s="87">
        <v>26309</v>
      </c>
      <c r="H2474" s="88">
        <v>34251</v>
      </c>
    </row>
    <row r="2475" spans="1:8" ht="24" customHeight="1" x14ac:dyDescent="0.15">
      <c r="A2475" s="250"/>
      <c r="B2475" s="23" t="s">
        <v>20</v>
      </c>
      <c r="C2475" s="22">
        <v>0</v>
      </c>
      <c r="D2475" s="86">
        <v>0</v>
      </c>
      <c r="E2475" s="86">
        <v>0</v>
      </c>
      <c r="F2475" s="87">
        <v>0</v>
      </c>
      <c r="G2475" s="87">
        <v>0</v>
      </c>
      <c r="H2475" s="88">
        <v>0</v>
      </c>
    </row>
    <row r="2476" spans="1:8" ht="22.5" customHeight="1" x14ac:dyDescent="0.15">
      <c r="A2476" s="250"/>
      <c r="B2476" s="23" t="s">
        <v>2038</v>
      </c>
      <c r="C2476" s="22">
        <v>242</v>
      </c>
      <c r="D2476" s="86">
        <v>7761710</v>
      </c>
      <c r="E2476" s="86">
        <v>714840</v>
      </c>
      <c r="F2476" s="87">
        <v>2795060</v>
      </c>
      <c r="G2476" s="87">
        <v>3048080</v>
      </c>
      <c r="H2476" s="88">
        <v>1203730</v>
      </c>
    </row>
    <row r="2477" spans="1:8" ht="24" customHeight="1" x14ac:dyDescent="0.15">
      <c r="A2477" s="250"/>
      <c r="B2477" s="23" t="s">
        <v>18</v>
      </c>
      <c r="C2477" s="22">
        <v>3334</v>
      </c>
      <c r="D2477" s="86">
        <v>64718418</v>
      </c>
      <c r="E2477" s="86">
        <v>15196009</v>
      </c>
      <c r="F2477" s="87">
        <v>10160611</v>
      </c>
      <c r="G2477" s="87">
        <v>31741010</v>
      </c>
      <c r="H2477" s="88">
        <v>7620787</v>
      </c>
    </row>
    <row r="2478" spans="1:8" ht="24" customHeight="1" x14ac:dyDescent="0.15">
      <c r="A2478" s="250"/>
      <c r="B2478" s="23" t="s">
        <v>17</v>
      </c>
      <c r="C2478" s="22">
        <v>637</v>
      </c>
      <c r="D2478" s="86">
        <v>14892360</v>
      </c>
      <c r="E2478" s="86">
        <v>2801453</v>
      </c>
      <c r="F2478" s="87">
        <v>2775437</v>
      </c>
      <c r="G2478" s="87">
        <v>7822883</v>
      </c>
      <c r="H2478" s="88">
        <v>1492585</v>
      </c>
    </row>
    <row r="2479" spans="1:8" ht="24" customHeight="1" x14ac:dyDescent="0.15">
      <c r="A2479" s="250"/>
      <c r="B2479" s="23" t="s">
        <v>2039</v>
      </c>
      <c r="C2479" s="22">
        <v>55743</v>
      </c>
      <c r="D2479" s="86">
        <v>13203652</v>
      </c>
      <c r="E2479" s="86">
        <v>1119448</v>
      </c>
      <c r="F2479" s="87">
        <v>5179693</v>
      </c>
      <c r="G2479" s="87">
        <v>6526435</v>
      </c>
      <c r="H2479" s="88">
        <v>378075</v>
      </c>
    </row>
    <row r="2480" spans="1:8" ht="24" customHeight="1" x14ac:dyDescent="0.15">
      <c r="A2480" s="250"/>
      <c r="B2480" s="23" t="s">
        <v>15</v>
      </c>
      <c r="C2480" s="22">
        <v>349</v>
      </c>
      <c r="D2480" s="86">
        <v>935345</v>
      </c>
      <c r="E2480" s="86">
        <v>102221</v>
      </c>
      <c r="F2480" s="87">
        <v>566532</v>
      </c>
      <c r="G2480" s="87">
        <v>266591</v>
      </c>
      <c r="H2480" s="88">
        <v>0</v>
      </c>
    </row>
    <row r="2481" spans="1:8" ht="24" customHeight="1" x14ac:dyDescent="0.15">
      <c r="A2481" s="250"/>
      <c r="B2481" s="23" t="s">
        <v>2040</v>
      </c>
      <c r="C2481" s="22">
        <v>45</v>
      </c>
      <c r="D2481" s="86">
        <v>229800</v>
      </c>
      <c r="E2481" s="86">
        <v>101644</v>
      </c>
      <c r="F2481" s="87">
        <v>16600</v>
      </c>
      <c r="G2481" s="87">
        <v>81655</v>
      </c>
      <c r="H2481" s="88">
        <v>29901</v>
      </c>
    </row>
    <row r="2482" spans="1:8" ht="24" customHeight="1" x14ac:dyDescent="0.15">
      <c r="A2482" s="250"/>
      <c r="B2482" s="23" t="s">
        <v>13</v>
      </c>
      <c r="C2482" s="22">
        <v>515</v>
      </c>
      <c r="D2482" s="86">
        <v>2493913</v>
      </c>
      <c r="E2482" s="86">
        <v>196732</v>
      </c>
      <c r="F2482" s="87">
        <v>1197412</v>
      </c>
      <c r="G2482" s="87">
        <v>1022873</v>
      </c>
      <c r="H2482" s="88">
        <v>76895</v>
      </c>
    </row>
    <row r="2483" spans="1:8" ht="24" customHeight="1" x14ac:dyDescent="0.15">
      <c r="A2483" s="250"/>
      <c r="B2483" s="23" t="s">
        <v>12</v>
      </c>
      <c r="C2483" s="22">
        <v>294</v>
      </c>
      <c r="D2483" s="86">
        <v>8649100</v>
      </c>
      <c r="E2483" s="86">
        <v>855170</v>
      </c>
      <c r="F2483" s="87">
        <v>1822600</v>
      </c>
      <c r="G2483" s="87">
        <v>5172800</v>
      </c>
      <c r="H2483" s="88">
        <v>798530</v>
      </c>
    </row>
    <row r="2484" spans="1:8" ht="24" customHeight="1" x14ac:dyDescent="0.15">
      <c r="A2484" s="250"/>
      <c r="B2484" s="23" t="s">
        <v>2041</v>
      </c>
      <c r="C2484" s="22">
        <v>64</v>
      </c>
      <c r="D2484" s="86">
        <v>2294450</v>
      </c>
      <c r="E2484" s="86">
        <v>176100</v>
      </c>
      <c r="F2484" s="87">
        <v>757550</v>
      </c>
      <c r="G2484" s="87">
        <v>1128700</v>
      </c>
      <c r="H2484" s="88">
        <v>232100</v>
      </c>
    </row>
    <row r="2485" spans="1:8" ht="24" customHeight="1" x14ac:dyDescent="0.15">
      <c r="A2485" s="250"/>
      <c r="B2485" s="23" t="s">
        <v>2042</v>
      </c>
      <c r="C2485" s="22">
        <v>0</v>
      </c>
      <c r="D2485" s="86">
        <v>0</v>
      </c>
      <c r="E2485" s="86">
        <v>0</v>
      </c>
      <c r="F2485" s="87">
        <v>0</v>
      </c>
      <c r="G2485" s="87">
        <v>0</v>
      </c>
      <c r="H2485" s="88">
        <v>0</v>
      </c>
    </row>
    <row r="2486" spans="1:8" ht="24" customHeight="1" x14ac:dyDescent="0.15">
      <c r="A2486" s="250"/>
      <c r="B2486" s="23" t="s">
        <v>2043</v>
      </c>
      <c r="C2486" s="22">
        <v>0</v>
      </c>
      <c r="D2486" s="86">
        <v>0</v>
      </c>
      <c r="E2486" s="86">
        <v>0</v>
      </c>
      <c r="F2486" s="87">
        <v>0</v>
      </c>
      <c r="G2486" s="87">
        <v>0</v>
      </c>
      <c r="H2486" s="88">
        <v>0</v>
      </c>
    </row>
    <row r="2487" spans="1:8" ht="24" customHeight="1" x14ac:dyDescent="0.15">
      <c r="A2487" s="250"/>
      <c r="B2487" s="23" t="s">
        <v>2044</v>
      </c>
      <c r="C2487" s="22">
        <v>1</v>
      </c>
      <c r="D2487" s="86">
        <v>3000</v>
      </c>
      <c r="E2487" s="86">
        <v>100</v>
      </c>
      <c r="F2487" s="87">
        <v>0</v>
      </c>
      <c r="G2487" s="87">
        <v>2100</v>
      </c>
      <c r="H2487" s="88">
        <v>800</v>
      </c>
    </row>
    <row r="2488" spans="1:8" ht="24" customHeight="1" x14ac:dyDescent="0.15">
      <c r="A2488" s="251"/>
      <c r="B2488" s="23" t="s">
        <v>7</v>
      </c>
      <c r="C2488" s="22">
        <v>22</v>
      </c>
      <c r="D2488" s="86">
        <v>16211</v>
      </c>
      <c r="E2488" s="86">
        <v>466</v>
      </c>
      <c r="F2488" s="87">
        <v>14000</v>
      </c>
      <c r="G2488" s="87">
        <v>1745</v>
      </c>
      <c r="H2488" s="88">
        <v>0</v>
      </c>
    </row>
    <row r="2489" spans="1:8" ht="24" customHeight="1" x14ac:dyDescent="0.15">
      <c r="A2489" s="18" t="s">
        <v>2045</v>
      </c>
      <c r="B2489" s="17" t="s">
        <v>2046</v>
      </c>
      <c r="C2489" s="16">
        <v>3473</v>
      </c>
      <c r="D2489" s="80">
        <v>18460098</v>
      </c>
      <c r="E2489" s="80">
        <v>825900</v>
      </c>
      <c r="F2489" s="81">
        <v>8378136</v>
      </c>
      <c r="G2489" s="81">
        <v>6023416</v>
      </c>
      <c r="H2489" s="82">
        <v>3232646</v>
      </c>
    </row>
    <row r="2490" spans="1:8" ht="24" customHeight="1" x14ac:dyDescent="0.15">
      <c r="A2490" s="252" t="s">
        <v>2047</v>
      </c>
      <c r="B2490" s="12" t="s">
        <v>2048</v>
      </c>
      <c r="C2490" s="11">
        <v>5917</v>
      </c>
      <c r="D2490" s="89">
        <v>75542948</v>
      </c>
      <c r="E2490" s="89">
        <v>45566201</v>
      </c>
      <c r="F2490" s="90">
        <v>12779060</v>
      </c>
      <c r="G2490" s="90">
        <v>10610003</v>
      </c>
      <c r="H2490" s="91">
        <v>6587683</v>
      </c>
    </row>
    <row r="2491" spans="1:8" ht="24" customHeight="1" thickBot="1" x14ac:dyDescent="0.2">
      <c r="A2491" s="253"/>
      <c r="B2491" s="7" t="s">
        <v>2049</v>
      </c>
      <c r="C2491" s="6">
        <v>6452</v>
      </c>
      <c r="D2491" s="92" t="s">
        <v>2050</v>
      </c>
      <c r="E2491" s="92" t="s">
        <v>54</v>
      </c>
      <c r="F2491" s="92" t="s">
        <v>54</v>
      </c>
      <c r="G2491" s="92" t="s">
        <v>54</v>
      </c>
      <c r="H2491" s="93" t="s">
        <v>54</v>
      </c>
    </row>
    <row r="2492" spans="1:8" ht="24" customHeight="1" x14ac:dyDescent="0.15">
      <c r="A2492" s="3" t="s">
        <v>2051</v>
      </c>
      <c r="B2492" s="2"/>
      <c r="C2492" s="2"/>
      <c r="D2492" s="2"/>
      <c r="E2492" s="2"/>
      <c r="F2492" s="2"/>
      <c r="G2492" s="2"/>
      <c r="H2492" s="2"/>
    </row>
    <row r="2493" spans="1:8" ht="24" customHeight="1" x14ac:dyDescent="0.15">
      <c r="A2493" s="3" t="s">
        <v>2587</v>
      </c>
      <c r="B2493" s="2"/>
      <c r="C2493" s="2"/>
      <c r="D2493" s="2"/>
      <c r="E2493" s="2"/>
      <c r="F2493" s="2"/>
      <c r="G2493" s="2"/>
      <c r="H2493" s="2"/>
    </row>
    <row r="2494" spans="1:8" ht="24" customHeight="1" x14ac:dyDescent="0.15">
      <c r="A2494" s="3" t="s">
        <v>2052</v>
      </c>
      <c r="B2494" s="2"/>
      <c r="C2494" s="2"/>
      <c r="D2494" s="2"/>
      <c r="E2494" s="2"/>
      <c r="F2494" s="2"/>
      <c r="G2494" s="2"/>
      <c r="H2494" s="2"/>
    </row>
    <row r="2495" spans="1:8" ht="24" customHeight="1" x14ac:dyDescent="0.15">
      <c r="A2495" s="3" t="s">
        <v>2053</v>
      </c>
      <c r="B2495" s="2"/>
      <c r="C2495" s="2"/>
      <c r="D2495" s="2"/>
      <c r="E2495" s="2"/>
      <c r="F2495" s="2"/>
      <c r="G2495" s="2"/>
      <c r="H2495" s="2"/>
    </row>
    <row r="2496" spans="1:8" ht="24" customHeight="1" x14ac:dyDescent="0.15">
      <c r="A2496" s="230" t="s">
        <v>1984</v>
      </c>
      <c r="B2496" s="230"/>
      <c r="C2496" s="230"/>
      <c r="D2496" s="230"/>
      <c r="E2496" s="230"/>
      <c r="F2496" s="230"/>
      <c r="G2496" s="230"/>
      <c r="H2496" s="230"/>
    </row>
    <row r="2497" spans="1:8" ht="24" customHeight="1" x14ac:dyDescent="0.15">
      <c r="A2497" s="231"/>
      <c r="B2497" s="231"/>
      <c r="C2497" s="231"/>
      <c r="D2497" s="231"/>
      <c r="E2497" s="231"/>
      <c r="F2497" s="231"/>
      <c r="G2497" s="231"/>
      <c r="H2497" s="231"/>
    </row>
    <row r="2498" spans="1:8" ht="24" customHeight="1" thickBot="1" x14ac:dyDescent="0.2">
      <c r="A2498" s="58" t="s">
        <v>1985</v>
      </c>
    </row>
    <row r="2499" spans="1:8" ht="24" customHeight="1" x14ac:dyDescent="0.15">
      <c r="A2499" s="232" t="s">
        <v>47</v>
      </c>
      <c r="B2499" s="235" t="s">
        <v>1986</v>
      </c>
      <c r="C2499" s="238" t="s">
        <v>1987</v>
      </c>
      <c r="D2499" s="241" t="s">
        <v>1988</v>
      </c>
      <c r="E2499" s="57"/>
      <c r="F2499" s="56"/>
      <c r="G2499" s="56"/>
      <c r="H2499" s="55"/>
    </row>
    <row r="2500" spans="1:8" ht="24" customHeight="1" x14ac:dyDescent="0.15">
      <c r="A2500" s="233"/>
      <c r="B2500" s="236"/>
      <c r="C2500" s="239"/>
      <c r="D2500" s="242"/>
      <c r="E2500" s="244" t="s">
        <v>1989</v>
      </c>
      <c r="F2500" s="246" t="s">
        <v>1990</v>
      </c>
      <c r="G2500" s="246" t="s">
        <v>1991</v>
      </c>
      <c r="H2500" s="248" t="s">
        <v>1992</v>
      </c>
    </row>
    <row r="2501" spans="1:8" ht="24" customHeight="1" thickBot="1" x14ac:dyDescent="0.2">
      <c r="A2501" s="234"/>
      <c r="B2501" s="237"/>
      <c r="C2501" s="240"/>
      <c r="D2501" s="243"/>
      <c r="E2501" s="245"/>
      <c r="F2501" s="247"/>
      <c r="G2501" s="247"/>
      <c r="H2501" s="249"/>
    </row>
    <row r="2502" spans="1:8" ht="24" customHeight="1" thickTop="1" x14ac:dyDescent="0.15">
      <c r="A2502" s="54"/>
      <c r="B2502" s="53"/>
      <c r="C2502" s="52"/>
      <c r="D2502" s="51" t="s">
        <v>1993</v>
      </c>
      <c r="E2502" s="50" t="s">
        <v>1993</v>
      </c>
      <c r="F2502" s="49" t="s">
        <v>1993</v>
      </c>
      <c r="G2502" s="49" t="s">
        <v>1993</v>
      </c>
      <c r="H2502" s="48" t="s">
        <v>1993</v>
      </c>
    </row>
    <row r="2503" spans="1:8" ht="24" customHeight="1" x14ac:dyDescent="0.15">
      <c r="A2503" s="250" t="s">
        <v>1994</v>
      </c>
      <c r="B2503" s="61" t="s">
        <v>1995</v>
      </c>
      <c r="C2503" s="62">
        <v>3771</v>
      </c>
      <c r="D2503" s="63">
        <v>600327243</v>
      </c>
      <c r="E2503" s="63">
        <v>229453616</v>
      </c>
      <c r="F2503" s="64">
        <v>182619779</v>
      </c>
      <c r="G2503" s="64">
        <v>184844601</v>
      </c>
      <c r="H2503" s="65">
        <v>3409246</v>
      </c>
    </row>
    <row r="2504" spans="1:8" ht="24" customHeight="1" x14ac:dyDescent="0.15">
      <c r="A2504" s="250"/>
      <c r="B2504" s="66" t="s">
        <v>1996</v>
      </c>
      <c r="C2504" s="67">
        <v>24</v>
      </c>
      <c r="D2504" s="68">
        <v>283496</v>
      </c>
      <c r="E2504" s="68">
        <v>76407</v>
      </c>
      <c r="F2504" s="69">
        <v>180568</v>
      </c>
      <c r="G2504" s="69">
        <v>26520</v>
      </c>
      <c r="H2504" s="70">
        <v>0</v>
      </c>
    </row>
    <row r="2505" spans="1:8" ht="24" customHeight="1" x14ac:dyDescent="0.15">
      <c r="A2505" s="250"/>
      <c r="B2505" s="66" t="s">
        <v>1997</v>
      </c>
      <c r="C2505" s="67">
        <v>116</v>
      </c>
      <c r="D2505" s="68">
        <v>0</v>
      </c>
      <c r="E2505" s="68">
        <v>0</v>
      </c>
      <c r="F2505" s="69">
        <v>0</v>
      </c>
      <c r="G2505" s="69">
        <v>0</v>
      </c>
      <c r="H2505" s="70">
        <v>0</v>
      </c>
    </row>
    <row r="2506" spans="1:8" ht="24" customHeight="1" x14ac:dyDescent="0.15">
      <c r="A2506" s="250"/>
      <c r="B2506" s="71" t="s">
        <v>1998</v>
      </c>
      <c r="C2506" s="72">
        <v>1</v>
      </c>
      <c r="D2506" s="73">
        <v>168061</v>
      </c>
      <c r="E2506" s="73">
        <v>127423</v>
      </c>
      <c r="F2506" s="74">
        <v>8251</v>
      </c>
      <c r="G2506" s="74">
        <v>30695</v>
      </c>
      <c r="H2506" s="75">
        <v>1691</v>
      </c>
    </row>
    <row r="2507" spans="1:8" ht="24" customHeight="1" x14ac:dyDescent="0.15">
      <c r="A2507" s="250"/>
      <c r="B2507" s="66" t="s">
        <v>33</v>
      </c>
      <c r="C2507" s="67">
        <v>69</v>
      </c>
      <c r="D2507" s="68">
        <v>14363906</v>
      </c>
      <c r="E2507" s="68">
        <v>3820927</v>
      </c>
      <c r="F2507" s="69">
        <v>4058281</v>
      </c>
      <c r="G2507" s="69">
        <v>6373822</v>
      </c>
      <c r="H2507" s="70">
        <v>110875</v>
      </c>
    </row>
    <row r="2508" spans="1:8" ht="24" customHeight="1" x14ac:dyDescent="0.15">
      <c r="A2508" s="250"/>
      <c r="B2508" s="76" t="s">
        <v>1999</v>
      </c>
      <c r="C2508" s="67">
        <v>189</v>
      </c>
      <c r="D2508" s="68">
        <v>36436489</v>
      </c>
      <c r="E2508" s="68">
        <v>3654360</v>
      </c>
      <c r="F2508" s="69">
        <v>1278543</v>
      </c>
      <c r="G2508" s="69">
        <v>31467757</v>
      </c>
      <c r="H2508" s="70">
        <v>35828</v>
      </c>
    </row>
    <row r="2509" spans="1:8" ht="24" customHeight="1" x14ac:dyDescent="0.15">
      <c r="A2509" s="251"/>
      <c r="B2509" s="77" t="s">
        <v>2000</v>
      </c>
      <c r="C2509" s="72">
        <v>40</v>
      </c>
      <c r="D2509" s="73">
        <v>215532</v>
      </c>
      <c r="E2509" s="73">
        <v>183254</v>
      </c>
      <c r="F2509" s="74">
        <v>2743</v>
      </c>
      <c r="G2509" s="74">
        <v>29092</v>
      </c>
      <c r="H2509" s="75">
        <v>443</v>
      </c>
    </row>
    <row r="2510" spans="1:8" ht="24" customHeight="1" x14ac:dyDescent="0.15">
      <c r="A2510" s="30" t="s">
        <v>2001</v>
      </c>
      <c r="B2510" s="78" t="s">
        <v>2002</v>
      </c>
      <c r="C2510" s="79">
        <v>29</v>
      </c>
      <c r="D2510" s="80">
        <v>106361</v>
      </c>
      <c r="E2510" s="80">
        <v>104004</v>
      </c>
      <c r="F2510" s="81">
        <v>1091</v>
      </c>
      <c r="G2510" s="81">
        <v>815</v>
      </c>
      <c r="H2510" s="82">
        <v>449</v>
      </c>
    </row>
    <row r="2511" spans="1:8" ht="24" customHeight="1" x14ac:dyDescent="0.15">
      <c r="A2511" s="252" t="s">
        <v>2003</v>
      </c>
      <c r="B2511" s="17" t="s">
        <v>2004</v>
      </c>
      <c r="C2511" s="16">
        <v>3173</v>
      </c>
      <c r="D2511" s="83">
        <v>61734352</v>
      </c>
      <c r="E2511" s="83">
        <v>9705645</v>
      </c>
      <c r="F2511" s="84">
        <v>12706175</v>
      </c>
      <c r="G2511" s="84">
        <v>31245321</v>
      </c>
      <c r="H2511" s="85">
        <v>8077210</v>
      </c>
    </row>
    <row r="2512" spans="1:8" ht="24" customHeight="1" x14ac:dyDescent="0.15">
      <c r="A2512" s="250"/>
      <c r="B2512" s="23" t="s">
        <v>2005</v>
      </c>
      <c r="C2512" s="22">
        <v>3267</v>
      </c>
      <c r="D2512" s="86">
        <v>14397550</v>
      </c>
      <c r="E2512" s="86">
        <v>697979</v>
      </c>
      <c r="F2512" s="87">
        <v>4267032</v>
      </c>
      <c r="G2512" s="87">
        <v>7744601</v>
      </c>
      <c r="H2512" s="88">
        <v>1687936</v>
      </c>
    </row>
    <row r="2513" spans="1:8" ht="24" customHeight="1" x14ac:dyDescent="0.15">
      <c r="A2513" s="250"/>
      <c r="B2513" s="24" t="s">
        <v>2006</v>
      </c>
      <c r="C2513" s="22">
        <v>631</v>
      </c>
      <c r="D2513" s="86">
        <v>29859970</v>
      </c>
      <c r="E2513" s="86">
        <v>2121145</v>
      </c>
      <c r="F2513" s="87">
        <v>9343137</v>
      </c>
      <c r="G2513" s="87">
        <v>14128524</v>
      </c>
      <c r="H2513" s="88">
        <v>4267162</v>
      </c>
    </row>
    <row r="2514" spans="1:8" ht="24" customHeight="1" x14ac:dyDescent="0.15">
      <c r="A2514" s="250"/>
      <c r="B2514" s="23" t="s">
        <v>2007</v>
      </c>
      <c r="C2514" s="22">
        <v>1771</v>
      </c>
      <c r="D2514" s="86">
        <v>51895900</v>
      </c>
      <c r="E2514" s="86">
        <v>5216725</v>
      </c>
      <c r="F2514" s="87">
        <v>11017834</v>
      </c>
      <c r="G2514" s="87">
        <v>31290881</v>
      </c>
      <c r="H2514" s="88">
        <v>4370459</v>
      </c>
    </row>
    <row r="2515" spans="1:8" ht="24" customHeight="1" x14ac:dyDescent="0.15">
      <c r="A2515" s="250"/>
      <c r="B2515" s="23" t="s">
        <v>2008</v>
      </c>
      <c r="C2515" s="22">
        <v>366</v>
      </c>
      <c r="D2515" s="86">
        <v>4645680</v>
      </c>
      <c r="E2515" s="86">
        <v>337936</v>
      </c>
      <c r="F2515" s="87">
        <v>75559</v>
      </c>
      <c r="G2515" s="87">
        <v>4192955</v>
      </c>
      <c r="H2515" s="88">
        <v>39229</v>
      </c>
    </row>
    <row r="2516" spans="1:8" ht="24" customHeight="1" x14ac:dyDescent="0.15">
      <c r="A2516" s="250"/>
      <c r="B2516" s="23" t="s">
        <v>2009</v>
      </c>
      <c r="C2516" s="22">
        <v>131</v>
      </c>
      <c r="D2516" s="86">
        <v>1193800</v>
      </c>
      <c r="E2516" s="86">
        <v>287720</v>
      </c>
      <c r="F2516" s="87">
        <v>91200</v>
      </c>
      <c r="G2516" s="87">
        <v>518180</v>
      </c>
      <c r="H2516" s="88">
        <v>296700</v>
      </c>
    </row>
    <row r="2517" spans="1:8" ht="24" customHeight="1" x14ac:dyDescent="0.15">
      <c r="A2517" s="250"/>
      <c r="B2517" s="23" t="s">
        <v>21</v>
      </c>
      <c r="C2517" s="22">
        <v>27</v>
      </c>
      <c r="D2517" s="86">
        <v>194421</v>
      </c>
      <c r="E2517" s="86">
        <v>121484</v>
      </c>
      <c r="F2517" s="87">
        <v>12377</v>
      </c>
      <c r="G2517" s="87">
        <v>26309</v>
      </c>
      <c r="H2517" s="88">
        <v>34251</v>
      </c>
    </row>
    <row r="2518" spans="1:8" ht="24" customHeight="1" x14ac:dyDescent="0.15">
      <c r="A2518" s="250"/>
      <c r="B2518" s="23" t="s">
        <v>2010</v>
      </c>
      <c r="C2518" s="22">
        <v>0</v>
      </c>
      <c r="D2518" s="86">
        <v>0</v>
      </c>
      <c r="E2518" s="86">
        <v>0</v>
      </c>
      <c r="F2518" s="87">
        <v>0</v>
      </c>
      <c r="G2518" s="87">
        <v>0</v>
      </c>
      <c r="H2518" s="88">
        <v>0</v>
      </c>
    </row>
    <row r="2519" spans="1:8" ht="24" customHeight="1" x14ac:dyDescent="0.15">
      <c r="A2519" s="250"/>
      <c r="B2519" s="23" t="s">
        <v>19</v>
      </c>
      <c r="C2519" s="22">
        <v>242</v>
      </c>
      <c r="D2519" s="86">
        <v>7845990</v>
      </c>
      <c r="E2519" s="86">
        <v>724820</v>
      </c>
      <c r="F2519" s="87">
        <v>2796750</v>
      </c>
      <c r="G2519" s="87">
        <v>3072580</v>
      </c>
      <c r="H2519" s="88">
        <v>1251840</v>
      </c>
    </row>
    <row r="2520" spans="1:8" ht="24" customHeight="1" x14ac:dyDescent="0.15">
      <c r="A2520" s="250"/>
      <c r="B2520" s="23" t="s">
        <v>2011</v>
      </c>
      <c r="C2520" s="22">
        <v>3351</v>
      </c>
      <c r="D2520" s="86">
        <v>65063406</v>
      </c>
      <c r="E2520" s="86">
        <v>15041645</v>
      </c>
      <c r="F2520" s="87">
        <v>10396558</v>
      </c>
      <c r="G2520" s="87">
        <v>31978215</v>
      </c>
      <c r="H2520" s="88">
        <v>7646986</v>
      </c>
    </row>
    <row r="2521" spans="1:8" ht="24" customHeight="1" x14ac:dyDescent="0.15">
      <c r="A2521" s="250"/>
      <c r="B2521" s="23" t="s">
        <v>2012</v>
      </c>
      <c r="C2521" s="22">
        <v>641</v>
      </c>
      <c r="D2521" s="86">
        <v>15364860</v>
      </c>
      <c r="E2521" s="86">
        <v>2805186</v>
      </c>
      <c r="F2521" s="87">
        <v>2910149</v>
      </c>
      <c r="G2521" s="87">
        <v>8095430</v>
      </c>
      <c r="H2521" s="88">
        <v>1554094</v>
      </c>
    </row>
    <row r="2522" spans="1:8" ht="24" customHeight="1" x14ac:dyDescent="0.15">
      <c r="A2522" s="250"/>
      <c r="B2522" s="23" t="s">
        <v>2013</v>
      </c>
      <c r="C2522" s="22">
        <v>55395</v>
      </c>
      <c r="D2522" s="86">
        <v>13148264</v>
      </c>
      <c r="E2522" s="86">
        <v>1118966</v>
      </c>
      <c r="F2522" s="87">
        <v>5174155</v>
      </c>
      <c r="G2522" s="87">
        <v>6479642</v>
      </c>
      <c r="H2522" s="88">
        <v>375500</v>
      </c>
    </row>
    <row r="2523" spans="1:8" s="60" customFormat="1" ht="24" customHeight="1" x14ac:dyDescent="0.15">
      <c r="A2523" s="250"/>
      <c r="B2523" s="23" t="s">
        <v>2014</v>
      </c>
      <c r="C2523" s="22">
        <v>350</v>
      </c>
      <c r="D2523" s="86">
        <v>945345</v>
      </c>
      <c r="E2523" s="86">
        <v>112221</v>
      </c>
      <c r="F2523" s="87">
        <v>566532</v>
      </c>
      <c r="G2523" s="87">
        <v>266591</v>
      </c>
      <c r="H2523" s="88">
        <v>0</v>
      </c>
    </row>
    <row r="2524" spans="1:8" ht="24" customHeight="1" x14ac:dyDescent="0.15">
      <c r="A2524" s="250"/>
      <c r="B2524" s="23" t="s">
        <v>2015</v>
      </c>
      <c r="C2524" s="22">
        <v>45</v>
      </c>
      <c r="D2524" s="86">
        <v>229800</v>
      </c>
      <c r="E2524" s="86">
        <v>101757</v>
      </c>
      <c r="F2524" s="87">
        <v>16600</v>
      </c>
      <c r="G2524" s="87">
        <v>81342</v>
      </c>
      <c r="H2524" s="88">
        <v>30101</v>
      </c>
    </row>
    <row r="2525" spans="1:8" ht="24" customHeight="1" x14ac:dyDescent="0.15">
      <c r="A2525" s="250"/>
      <c r="B2525" s="23" t="s">
        <v>2016</v>
      </c>
      <c r="C2525" s="22">
        <v>512</v>
      </c>
      <c r="D2525" s="86">
        <v>2494707</v>
      </c>
      <c r="E2525" s="86">
        <v>198852</v>
      </c>
      <c r="F2525" s="87">
        <v>1194614</v>
      </c>
      <c r="G2525" s="87">
        <v>1024346</v>
      </c>
      <c r="H2525" s="88">
        <v>76895</v>
      </c>
    </row>
    <row r="2526" spans="1:8" ht="24" customHeight="1" x14ac:dyDescent="0.15">
      <c r="A2526" s="250"/>
      <c r="B2526" s="23" t="s">
        <v>2017</v>
      </c>
      <c r="C2526" s="22">
        <v>301</v>
      </c>
      <c r="D2526" s="86">
        <v>8906600</v>
      </c>
      <c r="E2526" s="86">
        <v>838770</v>
      </c>
      <c r="F2526" s="87">
        <v>1890600</v>
      </c>
      <c r="G2526" s="87">
        <v>5371900</v>
      </c>
      <c r="H2526" s="88">
        <v>805330</v>
      </c>
    </row>
    <row r="2527" spans="1:8" ht="24" customHeight="1" x14ac:dyDescent="0.15">
      <c r="A2527" s="250"/>
      <c r="B2527" s="23" t="s">
        <v>2018</v>
      </c>
      <c r="C2527" s="22">
        <v>67</v>
      </c>
      <c r="D2527" s="86">
        <v>2356450</v>
      </c>
      <c r="E2527" s="86">
        <v>170100</v>
      </c>
      <c r="F2527" s="87">
        <v>778550</v>
      </c>
      <c r="G2527" s="87">
        <v>1173100</v>
      </c>
      <c r="H2527" s="88">
        <v>234700</v>
      </c>
    </row>
    <row r="2528" spans="1:8" ht="24" customHeight="1" x14ac:dyDescent="0.15">
      <c r="A2528" s="250"/>
      <c r="B2528" s="23" t="s">
        <v>10</v>
      </c>
      <c r="C2528" s="22">
        <v>0</v>
      </c>
      <c r="D2528" s="86">
        <v>0</v>
      </c>
      <c r="E2528" s="86">
        <v>0</v>
      </c>
      <c r="F2528" s="87">
        <v>0</v>
      </c>
      <c r="G2528" s="87">
        <v>0</v>
      </c>
      <c r="H2528" s="88">
        <v>0</v>
      </c>
    </row>
    <row r="2529" spans="1:8" ht="24" customHeight="1" x14ac:dyDescent="0.15">
      <c r="A2529" s="250"/>
      <c r="B2529" s="23" t="s">
        <v>9</v>
      </c>
      <c r="C2529" s="22">
        <v>0</v>
      </c>
      <c r="D2529" s="86">
        <v>0</v>
      </c>
      <c r="E2529" s="86">
        <v>0</v>
      </c>
      <c r="F2529" s="87">
        <v>0</v>
      </c>
      <c r="G2529" s="87">
        <v>0</v>
      </c>
      <c r="H2529" s="88">
        <v>0</v>
      </c>
    </row>
    <row r="2530" spans="1:8" ht="24" customHeight="1" x14ac:dyDescent="0.15">
      <c r="A2530" s="250"/>
      <c r="B2530" s="23" t="s">
        <v>8</v>
      </c>
      <c r="C2530" s="22">
        <v>1</v>
      </c>
      <c r="D2530" s="86">
        <v>3000</v>
      </c>
      <c r="E2530" s="86">
        <v>100</v>
      </c>
      <c r="F2530" s="87">
        <v>0</v>
      </c>
      <c r="G2530" s="87">
        <v>2100</v>
      </c>
      <c r="H2530" s="88">
        <v>800</v>
      </c>
    </row>
    <row r="2531" spans="1:8" ht="24" customHeight="1" x14ac:dyDescent="0.15">
      <c r="A2531" s="251"/>
      <c r="B2531" s="23" t="s">
        <v>7</v>
      </c>
      <c r="C2531" s="22">
        <v>22</v>
      </c>
      <c r="D2531" s="86">
        <v>16211</v>
      </c>
      <c r="E2531" s="86">
        <v>466</v>
      </c>
      <c r="F2531" s="87">
        <v>14000</v>
      </c>
      <c r="G2531" s="87">
        <v>1745</v>
      </c>
      <c r="H2531" s="88">
        <v>0</v>
      </c>
    </row>
    <row r="2532" spans="1:8" ht="24" customHeight="1" x14ac:dyDescent="0.15">
      <c r="A2532" s="18" t="s">
        <v>6</v>
      </c>
      <c r="B2532" s="17" t="s">
        <v>5</v>
      </c>
      <c r="C2532" s="16">
        <v>3345</v>
      </c>
      <c r="D2532" s="80">
        <v>20247640</v>
      </c>
      <c r="E2532" s="80">
        <v>816000</v>
      </c>
      <c r="F2532" s="81">
        <v>9059530</v>
      </c>
      <c r="G2532" s="81">
        <v>6923510</v>
      </c>
      <c r="H2532" s="82">
        <v>3448600</v>
      </c>
    </row>
    <row r="2533" spans="1:8" ht="24" customHeight="1" x14ac:dyDescent="0.15">
      <c r="A2533" s="252" t="s">
        <v>4</v>
      </c>
      <c r="B2533" s="12" t="s">
        <v>3</v>
      </c>
      <c r="C2533" s="11">
        <v>5914</v>
      </c>
      <c r="D2533" s="89">
        <v>74244891</v>
      </c>
      <c r="E2533" s="89">
        <v>44883128</v>
      </c>
      <c r="F2533" s="90">
        <v>12487550</v>
      </c>
      <c r="G2533" s="90">
        <v>10449423</v>
      </c>
      <c r="H2533" s="91">
        <v>6424788</v>
      </c>
    </row>
    <row r="2534" spans="1:8" ht="24" customHeight="1" thickBot="1" x14ac:dyDescent="0.2">
      <c r="A2534" s="253"/>
      <c r="B2534" s="7" t="s">
        <v>2019</v>
      </c>
      <c r="C2534" s="6">
        <v>6391</v>
      </c>
      <c r="D2534" s="92" t="s">
        <v>1</v>
      </c>
      <c r="E2534" s="92" t="s">
        <v>54</v>
      </c>
      <c r="F2534" s="92" t="s">
        <v>54</v>
      </c>
      <c r="G2534" s="92" t="s">
        <v>54</v>
      </c>
      <c r="H2534" s="93" t="s">
        <v>54</v>
      </c>
    </row>
    <row r="2535" spans="1:8" ht="24" customHeight="1" x14ac:dyDescent="0.15">
      <c r="A2535" s="3" t="s">
        <v>1155</v>
      </c>
      <c r="B2535" s="2"/>
      <c r="C2535" s="2"/>
      <c r="D2535" s="2"/>
      <c r="E2535" s="2"/>
      <c r="F2535" s="2"/>
      <c r="G2535" s="2"/>
      <c r="H2535" s="2"/>
    </row>
    <row r="2536" spans="1:8" ht="24" customHeight="1" x14ac:dyDescent="0.15">
      <c r="A2536" s="3" t="s">
        <v>2587</v>
      </c>
      <c r="B2536" s="2"/>
      <c r="C2536" s="2"/>
      <c r="D2536" s="2"/>
      <c r="E2536" s="2"/>
      <c r="F2536" s="2"/>
      <c r="G2536" s="2"/>
      <c r="H2536" s="2"/>
    </row>
    <row r="2537" spans="1:8" ht="24" customHeight="1" x14ac:dyDescent="0.15">
      <c r="A2537" s="3" t="s">
        <v>1156</v>
      </c>
      <c r="B2537" s="2"/>
      <c r="C2537" s="2"/>
      <c r="D2537" s="2"/>
      <c r="E2537" s="2"/>
      <c r="F2537" s="2"/>
      <c r="G2537" s="2"/>
      <c r="H2537" s="2"/>
    </row>
    <row r="2538" spans="1:8" ht="24" customHeight="1" x14ac:dyDescent="0.15">
      <c r="A2538" s="3" t="s">
        <v>1983</v>
      </c>
      <c r="B2538" s="2"/>
      <c r="C2538" s="2"/>
      <c r="D2538" s="2"/>
      <c r="E2538" s="2"/>
      <c r="F2538" s="2"/>
      <c r="G2538" s="2"/>
      <c r="H2538" s="2"/>
    </row>
    <row r="2539" spans="1:8" ht="24" customHeight="1" x14ac:dyDescent="0.15">
      <c r="A2539" s="230" t="s">
        <v>1946</v>
      </c>
      <c r="B2539" s="230"/>
      <c r="C2539" s="230"/>
      <c r="D2539" s="230"/>
      <c r="E2539" s="230"/>
      <c r="F2539" s="230"/>
      <c r="G2539" s="230"/>
      <c r="H2539" s="230"/>
    </row>
    <row r="2540" spans="1:8" ht="24" customHeight="1" x14ac:dyDescent="0.15">
      <c r="A2540" s="231"/>
      <c r="B2540" s="231"/>
      <c r="C2540" s="231"/>
      <c r="D2540" s="231"/>
      <c r="E2540" s="231"/>
      <c r="F2540" s="231"/>
      <c r="G2540" s="231"/>
      <c r="H2540" s="231"/>
    </row>
    <row r="2541" spans="1:8" ht="24" customHeight="1" thickBot="1" x14ac:dyDescent="0.2">
      <c r="A2541" s="58" t="s">
        <v>1947</v>
      </c>
    </row>
    <row r="2542" spans="1:8" ht="24" customHeight="1" x14ac:dyDescent="0.15">
      <c r="A2542" s="232" t="s">
        <v>47</v>
      </c>
      <c r="B2542" s="235" t="s">
        <v>46</v>
      </c>
      <c r="C2542" s="238" t="s">
        <v>1948</v>
      </c>
      <c r="D2542" s="241" t="s">
        <v>1949</v>
      </c>
      <c r="E2542" s="57"/>
      <c r="F2542" s="56"/>
      <c r="G2542" s="56"/>
      <c r="H2542" s="55"/>
    </row>
    <row r="2543" spans="1:8" ht="24" customHeight="1" x14ac:dyDescent="0.15">
      <c r="A2543" s="233"/>
      <c r="B2543" s="236"/>
      <c r="C2543" s="239"/>
      <c r="D2543" s="242"/>
      <c r="E2543" s="244" t="s">
        <v>1950</v>
      </c>
      <c r="F2543" s="246" t="s">
        <v>42</v>
      </c>
      <c r="G2543" s="246" t="s">
        <v>41</v>
      </c>
      <c r="H2543" s="248" t="s">
        <v>40</v>
      </c>
    </row>
    <row r="2544" spans="1:8" ht="24" customHeight="1" thickBot="1" x14ac:dyDescent="0.2">
      <c r="A2544" s="234"/>
      <c r="B2544" s="237"/>
      <c r="C2544" s="240"/>
      <c r="D2544" s="243"/>
      <c r="E2544" s="245"/>
      <c r="F2544" s="247"/>
      <c r="G2544" s="247"/>
      <c r="H2544" s="249"/>
    </row>
    <row r="2545" spans="1:8" ht="24" customHeight="1" thickTop="1" x14ac:dyDescent="0.15">
      <c r="A2545" s="54"/>
      <c r="B2545" s="53"/>
      <c r="C2545" s="52"/>
      <c r="D2545" s="51" t="s">
        <v>39</v>
      </c>
      <c r="E2545" s="50" t="s">
        <v>39</v>
      </c>
      <c r="F2545" s="49" t="s">
        <v>39</v>
      </c>
      <c r="G2545" s="49" t="s">
        <v>1951</v>
      </c>
      <c r="H2545" s="48" t="s">
        <v>39</v>
      </c>
    </row>
    <row r="2546" spans="1:8" ht="24" customHeight="1" x14ac:dyDescent="0.15">
      <c r="A2546" s="250" t="s">
        <v>1952</v>
      </c>
      <c r="B2546" s="61" t="s">
        <v>37</v>
      </c>
      <c r="C2546" s="62">
        <v>3770</v>
      </c>
      <c r="D2546" s="63">
        <v>640839193</v>
      </c>
      <c r="E2546" s="63">
        <v>242154707</v>
      </c>
      <c r="F2546" s="64">
        <v>197057612</v>
      </c>
      <c r="G2546" s="64">
        <v>197983696</v>
      </c>
      <c r="H2546" s="65">
        <v>3643176</v>
      </c>
    </row>
    <row r="2547" spans="1:8" ht="24" customHeight="1" x14ac:dyDescent="0.15">
      <c r="A2547" s="250"/>
      <c r="B2547" s="66" t="s">
        <v>1953</v>
      </c>
      <c r="C2547" s="67">
        <v>26</v>
      </c>
      <c r="D2547" s="68">
        <v>284126</v>
      </c>
      <c r="E2547" s="68">
        <v>73880</v>
      </c>
      <c r="F2547" s="69">
        <v>184217</v>
      </c>
      <c r="G2547" s="69">
        <v>26029</v>
      </c>
      <c r="H2547" s="70">
        <v>0</v>
      </c>
    </row>
    <row r="2548" spans="1:8" ht="24" customHeight="1" x14ac:dyDescent="0.15">
      <c r="A2548" s="250"/>
      <c r="B2548" s="66" t="s">
        <v>35</v>
      </c>
      <c r="C2548" s="67">
        <v>118</v>
      </c>
      <c r="D2548" s="68">
        <v>0</v>
      </c>
      <c r="E2548" s="68">
        <v>0</v>
      </c>
      <c r="F2548" s="69">
        <v>0</v>
      </c>
      <c r="G2548" s="69">
        <v>0</v>
      </c>
      <c r="H2548" s="70">
        <v>0</v>
      </c>
    </row>
    <row r="2549" spans="1:8" ht="24" customHeight="1" x14ac:dyDescent="0.15">
      <c r="A2549" s="250"/>
      <c r="B2549" s="71" t="s">
        <v>34</v>
      </c>
      <c r="C2549" s="72">
        <v>1</v>
      </c>
      <c r="D2549" s="73">
        <v>168273</v>
      </c>
      <c r="E2549" s="73">
        <v>127576</v>
      </c>
      <c r="F2549" s="74">
        <v>8269</v>
      </c>
      <c r="G2549" s="74">
        <v>30734</v>
      </c>
      <c r="H2549" s="75">
        <v>1693</v>
      </c>
    </row>
    <row r="2550" spans="1:8" ht="24" customHeight="1" x14ac:dyDescent="0.15">
      <c r="A2550" s="250"/>
      <c r="B2550" s="66" t="s">
        <v>33</v>
      </c>
      <c r="C2550" s="67">
        <v>69</v>
      </c>
      <c r="D2550" s="68">
        <v>14084380</v>
      </c>
      <c r="E2550" s="68">
        <v>3697915</v>
      </c>
      <c r="F2550" s="69">
        <v>4043840</v>
      </c>
      <c r="G2550" s="69">
        <v>6272729</v>
      </c>
      <c r="H2550" s="70">
        <v>69895</v>
      </c>
    </row>
    <row r="2551" spans="1:8" ht="24" customHeight="1" x14ac:dyDescent="0.15">
      <c r="A2551" s="250"/>
      <c r="B2551" s="76" t="s">
        <v>1954</v>
      </c>
      <c r="C2551" s="67">
        <v>189</v>
      </c>
      <c r="D2551" s="68">
        <v>39127329</v>
      </c>
      <c r="E2551" s="68">
        <v>4387504</v>
      </c>
      <c r="F2551" s="69">
        <v>1434234</v>
      </c>
      <c r="G2551" s="69">
        <v>33185725</v>
      </c>
      <c r="H2551" s="70">
        <v>119865</v>
      </c>
    </row>
    <row r="2552" spans="1:8" ht="24" customHeight="1" x14ac:dyDescent="0.15">
      <c r="A2552" s="251"/>
      <c r="B2552" s="77" t="s">
        <v>1955</v>
      </c>
      <c r="C2552" s="72">
        <v>40</v>
      </c>
      <c r="D2552" s="73">
        <v>230555</v>
      </c>
      <c r="E2552" s="73">
        <v>198800</v>
      </c>
      <c r="F2552" s="74">
        <v>3073</v>
      </c>
      <c r="G2552" s="74">
        <v>28018</v>
      </c>
      <c r="H2552" s="75">
        <v>662</v>
      </c>
    </row>
    <row r="2553" spans="1:8" ht="24" customHeight="1" x14ac:dyDescent="0.15">
      <c r="A2553" s="30" t="s">
        <v>1956</v>
      </c>
      <c r="B2553" s="78" t="s">
        <v>1957</v>
      </c>
      <c r="C2553" s="79">
        <v>29</v>
      </c>
      <c r="D2553" s="80">
        <v>109388</v>
      </c>
      <c r="E2553" s="80">
        <v>106644</v>
      </c>
      <c r="F2553" s="81">
        <v>1285</v>
      </c>
      <c r="G2553" s="81">
        <v>861</v>
      </c>
      <c r="H2553" s="82">
        <v>595</v>
      </c>
    </row>
    <row r="2554" spans="1:8" ht="24" customHeight="1" x14ac:dyDescent="0.15">
      <c r="A2554" s="252" t="s">
        <v>1958</v>
      </c>
      <c r="B2554" s="17" t="s">
        <v>1959</v>
      </c>
      <c r="C2554" s="16">
        <v>3164</v>
      </c>
      <c r="D2554" s="83">
        <v>61584852</v>
      </c>
      <c r="E2554" s="83">
        <v>9698467</v>
      </c>
      <c r="F2554" s="84">
        <v>12521595</v>
      </c>
      <c r="G2554" s="84">
        <v>31299080</v>
      </c>
      <c r="H2554" s="85">
        <v>8065708</v>
      </c>
    </row>
    <row r="2555" spans="1:8" ht="24" customHeight="1" x14ac:dyDescent="0.15">
      <c r="A2555" s="250"/>
      <c r="B2555" s="23" t="s">
        <v>1960</v>
      </c>
      <c r="C2555" s="22">
        <v>3189</v>
      </c>
      <c r="D2555" s="86">
        <v>14210704</v>
      </c>
      <c r="E2555" s="86">
        <v>624013</v>
      </c>
      <c r="F2555" s="87">
        <v>4124059</v>
      </c>
      <c r="G2555" s="87">
        <v>7717436</v>
      </c>
      <c r="H2555" s="88">
        <v>1745194</v>
      </c>
    </row>
    <row r="2556" spans="1:8" ht="24" customHeight="1" x14ac:dyDescent="0.15">
      <c r="A2556" s="250"/>
      <c r="B2556" s="24" t="s">
        <v>1961</v>
      </c>
      <c r="C2556" s="22">
        <v>632</v>
      </c>
      <c r="D2556" s="86">
        <v>30159970</v>
      </c>
      <c r="E2556" s="86">
        <v>2165600</v>
      </c>
      <c r="F2556" s="87">
        <v>9303783</v>
      </c>
      <c r="G2556" s="87">
        <v>14306482</v>
      </c>
      <c r="H2556" s="88">
        <v>4384102</v>
      </c>
    </row>
    <row r="2557" spans="1:8" ht="24" customHeight="1" x14ac:dyDescent="0.15">
      <c r="A2557" s="250"/>
      <c r="B2557" s="23" t="s">
        <v>24</v>
      </c>
      <c r="C2557" s="22">
        <v>1754</v>
      </c>
      <c r="D2557" s="86">
        <v>51479400</v>
      </c>
      <c r="E2557" s="86">
        <v>5142200</v>
      </c>
      <c r="F2557" s="87">
        <v>10958158</v>
      </c>
      <c r="G2557" s="87">
        <v>31050822</v>
      </c>
      <c r="H2557" s="88">
        <v>4328219</v>
      </c>
    </row>
    <row r="2558" spans="1:8" ht="24" customHeight="1" x14ac:dyDescent="0.15">
      <c r="A2558" s="250"/>
      <c r="B2558" s="23" t="s">
        <v>1962</v>
      </c>
      <c r="C2558" s="22">
        <v>363</v>
      </c>
      <c r="D2558" s="86">
        <v>4680180</v>
      </c>
      <c r="E2558" s="86">
        <v>340987</v>
      </c>
      <c r="F2558" s="87">
        <v>75560</v>
      </c>
      <c r="G2558" s="87">
        <v>4224403</v>
      </c>
      <c r="H2558" s="88">
        <v>39229</v>
      </c>
    </row>
    <row r="2559" spans="1:8" ht="24" customHeight="1" x14ac:dyDescent="0.15">
      <c r="A2559" s="250"/>
      <c r="B2559" s="23" t="s">
        <v>1963</v>
      </c>
      <c r="C2559" s="22">
        <v>131</v>
      </c>
      <c r="D2559" s="86">
        <v>1193800</v>
      </c>
      <c r="E2559" s="86">
        <v>288120</v>
      </c>
      <c r="F2559" s="87">
        <v>91600</v>
      </c>
      <c r="G2559" s="87">
        <v>517880</v>
      </c>
      <c r="H2559" s="88">
        <v>296200</v>
      </c>
    </row>
    <row r="2560" spans="1:8" ht="24" customHeight="1" x14ac:dyDescent="0.15">
      <c r="A2560" s="250"/>
      <c r="B2560" s="23" t="s">
        <v>1964</v>
      </c>
      <c r="C2560" s="22">
        <v>27</v>
      </c>
      <c r="D2560" s="86">
        <v>194421</v>
      </c>
      <c r="E2560" s="86">
        <v>121484</v>
      </c>
      <c r="F2560" s="87">
        <v>12377</v>
      </c>
      <c r="G2560" s="87">
        <v>26309</v>
      </c>
      <c r="H2560" s="88">
        <v>34251</v>
      </c>
    </row>
    <row r="2561" spans="1:8" ht="24" customHeight="1" x14ac:dyDescent="0.15">
      <c r="A2561" s="250"/>
      <c r="B2561" s="23" t="s">
        <v>1965</v>
      </c>
      <c r="C2561" s="22">
        <v>0</v>
      </c>
      <c r="D2561" s="86">
        <v>0</v>
      </c>
      <c r="E2561" s="86">
        <v>0</v>
      </c>
      <c r="F2561" s="87">
        <v>0</v>
      </c>
      <c r="G2561" s="87">
        <v>0</v>
      </c>
      <c r="H2561" s="88">
        <v>0</v>
      </c>
    </row>
    <row r="2562" spans="1:8" ht="24" customHeight="1" x14ac:dyDescent="0.15">
      <c r="A2562" s="250"/>
      <c r="B2562" s="23" t="s">
        <v>1966</v>
      </c>
      <c r="C2562" s="22">
        <v>243</v>
      </c>
      <c r="D2562" s="86">
        <v>7920480</v>
      </c>
      <c r="E2562" s="86">
        <v>747430</v>
      </c>
      <c r="F2562" s="87">
        <v>2800260</v>
      </c>
      <c r="G2562" s="87">
        <v>3068330</v>
      </c>
      <c r="H2562" s="88">
        <v>1304460</v>
      </c>
    </row>
    <row r="2563" spans="1:8" s="60" customFormat="1" ht="24" customHeight="1" x14ac:dyDescent="0.15">
      <c r="A2563" s="250"/>
      <c r="B2563" s="23" t="s">
        <v>1967</v>
      </c>
      <c r="C2563" s="22">
        <v>3334</v>
      </c>
      <c r="D2563" s="86">
        <v>64961414</v>
      </c>
      <c r="E2563" s="86">
        <v>15211808</v>
      </c>
      <c r="F2563" s="87">
        <v>10306143</v>
      </c>
      <c r="G2563" s="87">
        <v>31915807</v>
      </c>
      <c r="H2563" s="88">
        <v>7527654</v>
      </c>
    </row>
    <row r="2564" spans="1:8" ht="24" customHeight="1" x14ac:dyDescent="0.15">
      <c r="A2564" s="250"/>
      <c r="B2564" s="23" t="s">
        <v>1968</v>
      </c>
      <c r="C2564" s="22">
        <v>636</v>
      </c>
      <c r="D2564" s="86">
        <v>15184460</v>
      </c>
      <c r="E2564" s="86">
        <v>2748071</v>
      </c>
      <c r="F2564" s="87">
        <v>2886656</v>
      </c>
      <c r="G2564" s="87">
        <v>8070522</v>
      </c>
      <c r="H2564" s="88">
        <v>1479209</v>
      </c>
    </row>
    <row r="2565" spans="1:8" ht="24" customHeight="1" x14ac:dyDescent="0.15">
      <c r="A2565" s="250"/>
      <c r="B2565" s="23" t="s">
        <v>1969</v>
      </c>
      <c r="C2565" s="22">
        <v>55239</v>
      </c>
      <c r="D2565" s="86">
        <v>13142294</v>
      </c>
      <c r="E2565" s="86">
        <v>1130505</v>
      </c>
      <c r="F2565" s="87">
        <v>5186459</v>
      </c>
      <c r="G2565" s="87">
        <v>6449739</v>
      </c>
      <c r="H2565" s="88">
        <v>375590</v>
      </c>
    </row>
    <row r="2566" spans="1:8" ht="24" customHeight="1" x14ac:dyDescent="0.15">
      <c r="A2566" s="250"/>
      <c r="B2566" s="23" t="s">
        <v>1970</v>
      </c>
      <c r="C2566" s="22">
        <v>352</v>
      </c>
      <c r="D2566" s="86">
        <v>949302</v>
      </c>
      <c r="E2566" s="86">
        <v>112221</v>
      </c>
      <c r="F2566" s="87">
        <v>566532</v>
      </c>
      <c r="G2566" s="87">
        <v>270548</v>
      </c>
      <c r="H2566" s="88">
        <v>0</v>
      </c>
    </row>
    <row r="2567" spans="1:8" ht="24" customHeight="1" x14ac:dyDescent="0.15">
      <c r="A2567" s="250"/>
      <c r="B2567" s="23" t="s">
        <v>1971</v>
      </c>
      <c r="C2567" s="22">
        <v>45</v>
      </c>
      <c r="D2567" s="86">
        <v>229800</v>
      </c>
      <c r="E2567" s="86">
        <v>101689</v>
      </c>
      <c r="F2567" s="87">
        <v>16600</v>
      </c>
      <c r="G2567" s="87">
        <v>81410</v>
      </c>
      <c r="H2567" s="88">
        <v>30101</v>
      </c>
    </row>
    <row r="2568" spans="1:8" ht="24" customHeight="1" x14ac:dyDescent="0.15">
      <c r="A2568" s="250"/>
      <c r="B2568" s="23" t="s">
        <v>1972</v>
      </c>
      <c r="C2568" s="22">
        <v>510</v>
      </c>
      <c r="D2568" s="86">
        <v>2476700</v>
      </c>
      <c r="E2568" s="86">
        <v>210097</v>
      </c>
      <c r="F2568" s="87">
        <v>1176915</v>
      </c>
      <c r="G2568" s="87">
        <v>1012793</v>
      </c>
      <c r="H2568" s="88">
        <v>76895</v>
      </c>
    </row>
    <row r="2569" spans="1:8" ht="24" customHeight="1" x14ac:dyDescent="0.15">
      <c r="A2569" s="250"/>
      <c r="B2569" s="23" t="s">
        <v>1973</v>
      </c>
      <c r="C2569" s="22">
        <v>297</v>
      </c>
      <c r="D2569" s="86">
        <v>8814500</v>
      </c>
      <c r="E2569" s="86">
        <v>819370</v>
      </c>
      <c r="F2569" s="87">
        <v>1853200</v>
      </c>
      <c r="G2569" s="87">
        <v>5360000</v>
      </c>
      <c r="H2569" s="88">
        <v>781930</v>
      </c>
    </row>
    <row r="2570" spans="1:8" ht="24" customHeight="1" x14ac:dyDescent="0.15">
      <c r="A2570" s="250"/>
      <c r="B2570" s="23" t="s">
        <v>1974</v>
      </c>
      <c r="C2570" s="22">
        <v>67</v>
      </c>
      <c r="D2570" s="86">
        <v>2356450</v>
      </c>
      <c r="E2570" s="86">
        <v>165400</v>
      </c>
      <c r="F2570" s="87">
        <v>783550</v>
      </c>
      <c r="G2570" s="87">
        <v>1173400</v>
      </c>
      <c r="H2570" s="88">
        <v>234100</v>
      </c>
    </row>
    <row r="2571" spans="1:8" ht="24" customHeight="1" x14ac:dyDescent="0.15">
      <c r="A2571" s="250"/>
      <c r="B2571" s="23" t="s">
        <v>1975</v>
      </c>
      <c r="C2571" s="22">
        <v>0</v>
      </c>
      <c r="D2571" s="86">
        <v>0</v>
      </c>
      <c r="E2571" s="86">
        <v>0</v>
      </c>
      <c r="F2571" s="87">
        <v>0</v>
      </c>
      <c r="G2571" s="87">
        <v>0</v>
      </c>
      <c r="H2571" s="88">
        <v>0</v>
      </c>
    </row>
    <row r="2572" spans="1:8" ht="24" customHeight="1" x14ac:dyDescent="0.15">
      <c r="A2572" s="250"/>
      <c r="B2572" s="23" t="s">
        <v>9</v>
      </c>
      <c r="C2572" s="22">
        <v>0</v>
      </c>
      <c r="D2572" s="86">
        <v>0</v>
      </c>
      <c r="E2572" s="86">
        <v>0</v>
      </c>
      <c r="F2572" s="87">
        <v>0</v>
      </c>
      <c r="G2572" s="87">
        <v>0</v>
      </c>
      <c r="H2572" s="88">
        <v>0</v>
      </c>
    </row>
    <row r="2573" spans="1:8" ht="24" customHeight="1" x14ac:dyDescent="0.15">
      <c r="A2573" s="250"/>
      <c r="B2573" s="23" t="s">
        <v>8</v>
      </c>
      <c r="C2573" s="22">
        <v>1</v>
      </c>
      <c r="D2573" s="86">
        <v>3000</v>
      </c>
      <c r="E2573" s="86">
        <v>100</v>
      </c>
      <c r="F2573" s="87">
        <v>0</v>
      </c>
      <c r="G2573" s="87">
        <v>2100</v>
      </c>
      <c r="H2573" s="88">
        <v>800</v>
      </c>
    </row>
    <row r="2574" spans="1:8" ht="24" customHeight="1" x14ac:dyDescent="0.15">
      <c r="A2574" s="251"/>
      <c r="B2574" s="23" t="s">
        <v>1976</v>
      </c>
      <c r="C2574" s="22">
        <v>22</v>
      </c>
      <c r="D2574" s="86">
        <v>16211</v>
      </c>
      <c r="E2574" s="86">
        <v>466</v>
      </c>
      <c r="F2574" s="87">
        <v>14000</v>
      </c>
      <c r="G2574" s="87">
        <v>1745</v>
      </c>
      <c r="H2574" s="88">
        <v>0</v>
      </c>
    </row>
    <row r="2575" spans="1:8" ht="24" customHeight="1" x14ac:dyDescent="0.15">
      <c r="A2575" s="18" t="s">
        <v>1977</v>
      </c>
      <c r="B2575" s="17" t="s">
        <v>1978</v>
      </c>
      <c r="C2575" s="16">
        <v>3405</v>
      </c>
      <c r="D2575" s="80">
        <v>20014131</v>
      </c>
      <c r="E2575" s="80">
        <v>825300</v>
      </c>
      <c r="F2575" s="81">
        <v>8903963</v>
      </c>
      <c r="G2575" s="81">
        <v>6761716</v>
      </c>
      <c r="H2575" s="82">
        <v>3523152</v>
      </c>
    </row>
    <row r="2576" spans="1:8" ht="24" customHeight="1" x14ac:dyDescent="0.15">
      <c r="A2576" s="252" t="s">
        <v>4</v>
      </c>
      <c r="B2576" s="12" t="s">
        <v>1979</v>
      </c>
      <c r="C2576" s="11">
        <v>5926</v>
      </c>
      <c r="D2576" s="89">
        <v>76585528</v>
      </c>
      <c r="E2576" s="89">
        <v>46368420</v>
      </c>
      <c r="F2576" s="90">
        <v>12806378</v>
      </c>
      <c r="G2576" s="90">
        <v>10764623</v>
      </c>
      <c r="H2576" s="91">
        <v>6646105</v>
      </c>
    </row>
    <row r="2577" spans="1:8" ht="24" customHeight="1" thickBot="1" x14ac:dyDescent="0.2">
      <c r="A2577" s="253"/>
      <c r="B2577" s="7" t="s">
        <v>1153</v>
      </c>
      <c r="C2577" s="6">
        <v>6358</v>
      </c>
      <c r="D2577" s="92" t="s">
        <v>54</v>
      </c>
      <c r="E2577" s="92" t="s">
        <v>54</v>
      </c>
      <c r="F2577" s="92" t="s">
        <v>54</v>
      </c>
      <c r="G2577" s="92" t="s">
        <v>54</v>
      </c>
      <c r="H2577" s="93" t="s">
        <v>54</v>
      </c>
    </row>
    <row r="2578" spans="1:8" ht="24" customHeight="1" x14ac:dyDescent="0.15">
      <c r="A2578" s="3" t="s">
        <v>1980</v>
      </c>
      <c r="B2578" s="2"/>
      <c r="C2578" s="2"/>
      <c r="D2578" s="2"/>
      <c r="E2578" s="2"/>
      <c r="F2578" s="2"/>
      <c r="G2578" s="2"/>
      <c r="H2578" s="2"/>
    </row>
    <row r="2579" spans="1:8" ht="24" customHeight="1" x14ac:dyDescent="0.15">
      <c r="A2579" s="3" t="s">
        <v>2587</v>
      </c>
      <c r="B2579" s="2"/>
      <c r="C2579" s="2"/>
      <c r="D2579" s="2"/>
      <c r="E2579" s="2"/>
      <c r="F2579" s="2"/>
      <c r="G2579" s="2"/>
      <c r="H2579" s="2"/>
    </row>
    <row r="2580" spans="1:8" ht="24" customHeight="1" x14ac:dyDescent="0.15">
      <c r="A2580" s="3" t="s">
        <v>1981</v>
      </c>
      <c r="B2580" s="2"/>
      <c r="C2580" s="2"/>
      <c r="D2580" s="2"/>
      <c r="E2580" s="2"/>
      <c r="F2580" s="2"/>
      <c r="G2580" s="2"/>
      <c r="H2580" s="2"/>
    </row>
    <row r="2581" spans="1:8" ht="24" customHeight="1" x14ac:dyDescent="0.15">
      <c r="A2581" s="3" t="s">
        <v>1982</v>
      </c>
      <c r="B2581" s="2"/>
      <c r="C2581" s="2"/>
      <c r="D2581" s="2"/>
      <c r="E2581" s="2"/>
      <c r="F2581" s="2"/>
      <c r="G2581" s="2"/>
      <c r="H2581" s="2"/>
    </row>
    <row r="2582" spans="1:8" ht="24" customHeight="1" x14ac:dyDescent="0.15">
      <c r="A2582" s="230" t="s">
        <v>1911</v>
      </c>
      <c r="B2582" s="230"/>
      <c r="C2582" s="230"/>
      <c r="D2582" s="230"/>
      <c r="E2582" s="230"/>
      <c r="F2582" s="230"/>
      <c r="G2582" s="230"/>
      <c r="H2582" s="230"/>
    </row>
    <row r="2583" spans="1:8" ht="24" customHeight="1" x14ac:dyDescent="0.15">
      <c r="A2583" s="231"/>
      <c r="B2583" s="231"/>
      <c r="C2583" s="231"/>
      <c r="D2583" s="231"/>
      <c r="E2583" s="231"/>
      <c r="F2583" s="231"/>
      <c r="G2583" s="231"/>
      <c r="H2583" s="231"/>
    </row>
    <row r="2584" spans="1:8" ht="24" customHeight="1" thickBot="1" x14ac:dyDescent="0.2">
      <c r="A2584" s="58" t="s">
        <v>48</v>
      </c>
    </row>
    <row r="2585" spans="1:8" ht="24" customHeight="1" x14ac:dyDescent="0.15">
      <c r="A2585" s="232" t="s">
        <v>47</v>
      </c>
      <c r="B2585" s="235" t="s">
        <v>1912</v>
      </c>
      <c r="C2585" s="238" t="s">
        <v>1913</v>
      </c>
      <c r="D2585" s="241" t="s">
        <v>1914</v>
      </c>
      <c r="E2585" s="57"/>
      <c r="F2585" s="56"/>
      <c r="G2585" s="56"/>
      <c r="H2585" s="55"/>
    </row>
    <row r="2586" spans="1:8" ht="24" customHeight="1" x14ac:dyDescent="0.15">
      <c r="A2586" s="233"/>
      <c r="B2586" s="236"/>
      <c r="C2586" s="239"/>
      <c r="D2586" s="242"/>
      <c r="E2586" s="244" t="s">
        <v>1915</v>
      </c>
      <c r="F2586" s="246" t="s">
        <v>42</v>
      </c>
      <c r="G2586" s="246" t="s">
        <v>1916</v>
      </c>
      <c r="H2586" s="248" t="s">
        <v>1917</v>
      </c>
    </row>
    <row r="2587" spans="1:8" ht="24" customHeight="1" thickBot="1" x14ac:dyDescent="0.2">
      <c r="A2587" s="234"/>
      <c r="B2587" s="237"/>
      <c r="C2587" s="240"/>
      <c r="D2587" s="243"/>
      <c r="E2587" s="245"/>
      <c r="F2587" s="247"/>
      <c r="G2587" s="247"/>
      <c r="H2587" s="249"/>
    </row>
    <row r="2588" spans="1:8" ht="24" customHeight="1" thickTop="1" x14ac:dyDescent="0.15">
      <c r="A2588" s="54"/>
      <c r="B2588" s="53"/>
      <c r="C2588" s="52"/>
      <c r="D2588" s="51" t="s">
        <v>39</v>
      </c>
      <c r="E2588" s="50" t="s">
        <v>1918</v>
      </c>
      <c r="F2588" s="49" t="s">
        <v>1919</v>
      </c>
      <c r="G2588" s="49" t="s">
        <v>39</v>
      </c>
      <c r="H2588" s="48" t="s">
        <v>39</v>
      </c>
    </row>
    <row r="2589" spans="1:8" ht="24" customHeight="1" x14ac:dyDescent="0.15">
      <c r="A2589" s="250" t="s">
        <v>38</v>
      </c>
      <c r="B2589" s="61" t="s">
        <v>1920</v>
      </c>
      <c r="C2589" s="62">
        <v>3773</v>
      </c>
      <c r="D2589" s="63">
        <v>624852954</v>
      </c>
      <c r="E2589" s="63">
        <v>245337436</v>
      </c>
      <c r="F2589" s="64">
        <v>182655106</v>
      </c>
      <c r="G2589" s="64">
        <v>192314979</v>
      </c>
      <c r="H2589" s="65">
        <v>4545432</v>
      </c>
    </row>
    <row r="2590" spans="1:8" ht="24" customHeight="1" x14ac:dyDescent="0.15">
      <c r="A2590" s="250"/>
      <c r="B2590" s="66" t="s">
        <v>1921</v>
      </c>
      <c r="C2590" s="67">
        <v>26</v>
      </c>
      <c r="D2590" s="68">
        <v>282903</v>
      </c>
      <c r="E2590" s="68">
        <v>78595</v>
      </c>
      <c r="F2590" s="69">
        <v>179520</v>
      </c>
      <c r="G2590" s="69">
        <v>24787</v>
      </c>
      <c r="H2590" s="70">
        <v>0</v>
      </c>
    </row>
    <row r="2591" spans="1:8" ht="24" customHeight="1" x14ac:dyDescent="0.15">
      <c r="A2591" s="250"/>
      <c r="B2591" s="66" t="s">
        <v>35</v>
      </c>
      <c r="C2591" s="67">
        <v>122</v>
      </c>
      <c r="D2591" s="68">
        <v>0</v>
      </c>
      <c r="E2591" s="68">
        <v>0</v>
      </c>
      <c r="F2591" s="69">
        <v>0</v>
      </c>
      <c r="G2591" s="69">
        <v>0</v>
      </c>
      <c r="H2591" s="70">
        <v>0</v>
      </c>
    </row>
    <row r="2592" spans="1:8" ht="24" customHeight="1" x14ac:dyDescent="0.15">
      <c r="A2592" s="250"/>
      <c r="B2592" s="71" t="s">
        <v>34</v>
      </c>
      <c r="C2592" s="72">
        <v>1</v>
      </c>
      <c r="D2592" s="73">
        <v>169335</v>
      </c>
      <c r="E2592" s="73">
        <v>128326</v>
      </c>
      <c r="F2592" s="74">
        <v>8373</v>
      </c>
      <c r="G2592" s="74">
        <v>30928</v>
      </c>
      <c r="H2592" s="75">
        <v>1708</v>
      </c>
    </row>
    <row r="2593" spans="1:8" ht="24" customHeight="1" x14ac:dyDescent="0.15">
      <c r="A2593" s="250"/>
      <c r="B2593" s="66" t="s">
        <v>33</v>
      </c>
      <c r="C2593" s="67">
        <v>69</v>
      </c>
      <c r="D2593" s="68">
        <v>14263416</v>
      </c>
      <c r="E2593" s="68">
        <v>3717391</v>
      </c>
      <c r="F2593" s="69">
        <v>4186874</v>
      </c>
      <c r="G2593" s="69">
        <v>6282352</v>
      </c>
      <c r="H2593" s="70">
        <v>76797</v>
      </c>
    </row>
    <row r="2594" spans="1:8" ht="24" customHeight="1" x14ac:dyDescent="0.15">
      <c r="A2594" s="250"/>
      <c r="B2594" s="76" t="s">
        <v>1922</v>
      </c>
      <c r="C2594" s="67">
        <v>188</v>
      </c>
      <c r="D2594" s="68">
        <v>37401847</v>
      </c>
      <c r="E2594" s="68">
        <v>3704914</v>
      </c>
      <c r="F2594" s="69">
        <v>1446102</v>
      </c>
      <c r="G2594" s="69">
        <v>32195039</v>
      </c>
      <c r="H2594" s="70">
        <v>55791</v>
      </c>
    </row>
    <row r="2595" spans="1:8" ht="24" customHeight="1" x14ac:dyDescent="0.15">
      <c r="A2595" s="251"/>
      <c r="B2595" s="77" t="s">
        <v>1923</v>
      </c>
      <c r="C2595" s="72">
        <v>40</v>
      </c>
      <c r="D2595" s="73">
        <v>222583</v>
      </c>
      <c r="E2595" s="73">
        <v>191486</v>
      </c>
      <c r="F2595" s="74">
        <v>3287</v>
      </c>
      <c r="G2595" s="74">
        <v>27511</v>
      </c>
      <c r="H2595" s="75">
        <v>297</v>
      </c>
    </row>
    <row r="2596" spans="1:8" ht="24" customHeight="1" x14ac:dyDescent="0.15">
      <c r="A2596" s="30" t="s">
        <v>30</v>
      </c>
      <c r="B2596" s="78" t="s">
        <v>1924</v>
      </c>
      <c r="C2596" s="79">
        <v>30</v>
      </c>
      <c r="D2596" s="80">
        <v>98483</v>
      </c>
      <c r="E2596" s="80">
        <v>96832</v>
      </c>
      <c r="F2596" s="81">
        <v>554</v>
      </c>
      <c r="G2596" s="81">
        <v>618</v>
      </c>
      <c r="H2596" s="82">
        <v>477</v>
      </c>
    </row>
    <row r="2597" spans="1:8" ht="24" customHeight="1" x14ac:dyDescent="0.15">
      <c r="A2597" s="252" t="s">
        <v>1925</v>
      </c>
      <c r="B2597" s="17" t="s">
        <v>1926</v>
      </c>
      <c r="C2597" s="16">
        <v>3149</v>
      </c>
      <c r="D2597" s="83">
        <v>61331652</v>
      </c>
      <c r="E2597" s="83">
        <v>9665566</v>
      </c>
      <c r="F2597" s="84">
        <v>12479078</v>
      </c>
      <c r="G2597" s="84">
        <v>31148219</v>
      </c>
      <c r="H2597" s="85">
        <v>8038788</v>
      </c>
    </row>
    <row r="2598" spans="1:8" ht="24" customHeight="1" x14ac:dyDescent="0.15">
      <c r="A2598" s="250"/>
      <c r="B2598" s="23" t="s">
        <v>1927</v>
      </c>
      <c r="C2598" s="22">
        <v>3172</v>
      </c>
      <c r="D2598" s="86">
        <v>14210406</v>
      </c>
      <c r="E2598" s="86">
        <v>646268</v>
      </c>
      <c r="F2598" s="87">
        <v>4156849</v>
      </c>
      <c r="G2598" s="87">
        <v>7680640</v>
      </c>
      <c r="H2598" s="88">
        <v>1726647</v>
      </c>
    </row>
    <row r="2599" spans="1:8" ht="24" customHeight="1" x14ac:dyDescent="0.15">
      <c r="A2599" s="250"/>
      <c r="B2599" s="24" t="s">
        <v>1928</v>
      </c>
      <c r="C2599" s="22">
        <v>634</v>
      </c>
      <c r="D2599" s="86">
        <v>30404970</v>
      </c>
      <c r="E2599" s="86">
        <v>2244948</v>
      </c>
      <c r="F2599" s="87">
        <v>9489449</v>
      </c>
      <c r="G2599" s="87">
        <v>14376159</v>
      </c>
      <c r="H2599" s="88">
        <v>4294411</v>
      </c>
    </row>
    <row r="2600" spans="1:8" ht="24" customHeight="1" x14ac:dyDescent="0.15">
      <c r="A2600" s="250"/>
      <c r="B2600" s="23" t="s">
        <v>1929</v>
      </c>
      <c r="C2600" s="22">
        <v>1737</v>
      </c>
      <c r="D2600" s="86">
        <v>51075700</v>
      </c>
      <c r="E2600" s="86">
        <v>5296880</v>
      </c>
      <c r="F2600" s="87">
        <v>10437798</v>
      </c>
      <c r="G2600" s="87">
        <v>31040602</v>
      </c>
      <c r="H2600" s="88">
        <v>4300419</v>
      </c>
    </row>
    <row r="2601" spans="1:8" ht="24" customHeight="1" x14ac:dyDescent="0.15">
      <c r="A2601" s="250"/>
      <c r="B2601" s="23" t="s">
        <v>23</v>
      </c>
      <c r="C2601" s="22">
        <v>357</v>
      </c>
      <c r="D2601" s="86">
        <v>4676680</v>
      </c>
      <c r="E2601" s="86">
        <v>321674</v>
      </c>
      <c r="F2601" s="87">
        <v>75560</v>
      </c>
      <c r="G2601" s="87">
        <v>4240216</v>
      </c>
      <c r="H2601" s="88">
        <v>39229</v>
      </c>
    </row>
    <row r="2602" spans="1:8" ht="24" customHeight="1" x14ac:dyDescent="0.15">
      <c r="A2602" s="250"/>
      <c r="B2602" s="23" t="s">
        <v>1930</v>
      </c>
      <c r="C2602" s="22">
        <v>129</v>
      </c>
      <c r="D2602" s="86">
        <v>1184800</v>
      </c>
      <c r="E2602" s="86">
        <v>298720</v>
      </c>
      <c r="F2602" s="87">
        <v>88800</v>
      </c>
      <c r="G2602" s="87">
        <v>509080</v>
      </c>
      <c r="H2602" s="88">
        <v>288200</v>
      </c>
    </row>
    <row r="2603" spans="1:8" s="60" customFormat="1" ht="24" customHeight="1" x14ac:dyDescent="0.15">
      <c r="A2603" s="250"/>
      <c r="B2603" s="23" t="s">
        <v>21</v>
      </c>
      <c r="C2603" s="22">
        <v>27</v>
      </c>
      <c r="D2603" s="86">
        <v>194421</v>
      </c>
      <c r="E2603" s="86">
        <v>121484</v>
      </c>
      <c r="F2603" s="87">
        <v>12377</v>
      </c>
      <c r="G2603" s="87">
        <v>26309</v>
      </c>
      <c r="H2603" s="88">
        <v>34251</v>
      </c>
    </row>
    <row r="2604" spans="1:8" ht="24" customHeight="1" x14ac:dyDescent="0.15">
      <c r="A2604" s="250"/>
      <c r="B2604" s="23" t="s">
        <v>1931</v>
      </c>
      <c r="C2604" s="22">
        <v>0</v>
      </c>
      <c r="D2604" s="86">
        <v>0</v>
      </c>
      <c r="E2604" s="86">
        <v>0</v>
      </c>
      <c r="F2604" s="87">
        <v>0</v>
      </c>
      <c r="G2604" s="87">
        <v>0</v>
      </c>
      <c r="H2604" s="88">
        <v>0</v>
      </c>
    </row>
    <row r="2605" spans="1:8" ht="24" customHeight="1" x14ac:dyDescent="0.15">
      <c r="A2605" s="250"/>
      <c r="B2605" s="23" t="s">
        <v>1932</v>
      </c>
      <c r="C2605" s="22">
        <v>244</v>
      </c>
      <c r="D2605" s="86">
        <v>7999380</v>
      </c>
      <c r="E2605" s="86">
        <v>783350</v>
      </c>
      <c r="F2605" s="87">
        <v>2811210</v>
      </c>
      <c r="G2605" s="87">
        <v>3063120</v>
      </c>
      <c r="H2605" s="88">
        <v>1341700</v>
      </c>
    </row>
    <row r="2606" spans="1:8" ht="24" customHeight="1" x14ac:dyDescent="0.15">
      <c r="A2606" s="250"/>
      <c r="B2606" s="23" t="s">
        <v>18</v>
      </c>
      <c r="C2606" s="22">
        <v>3308</v>
      </c>
      <c r="D2606" s="86">
        <v>63795768</v>
      </c>
      <c r="E2606" s="86">
        <v>14733080</v>
      </c>
      <c r="F2606" s="87">
        <v>10212138</v>
      </c>
      <c r="G2606" s="87">
        <v>31549522</v>
      </c>
      <c r="H2606" s="88">
        <v>7301027</v>
      </c>
    </row>
    <row r="2607" spans="1:8" ht="24" customHeight="1" x14ac:dyDescent="0.15">
      <c r="A2607" s="250"/>
      <c r="B2607" s="23" t="s">
        <v>17</v>
      </c>
      <c r="C2607" s="22">
        <v>629</v>
      </c>
      <c r="D2607" s="86">
        <v>14934460</v>
      </c>
      <c r="E2607" s="86">
        <v>2723651</v>
      </c>
      <c r="F2607" s="87">
        <v>2847476</v>
      </c>
      <c r="G2607" s="87">
        <v>7938808</v>
      </c>
      <c r="H2607" s="88">
        <v>1424524</v>
      </c>
    </row>
    <row r="2608" spans="1:8" ht="24" customHeight="1" x14ac:dyDescent="0.15">
      <c r="A2608" s="250"/>
      <c r="B2608" s="23" t="s">
        <v>1933</v>
      </c>
      <c r="C2608" s="22">
        <v>55130</v>
      </c>
      <c r="D2608" s="86">
        <v>13108745</v>
      </c>
      <c r="E2608" s="86">
        <v>1127005</v>
      </c>
      <c r="F2608" s="87">
        <v>5187380</v>
      </c>
      <c r="G2608" s="87">
        <v>6422299</v>
      </c>
      <c r="H2608" s="88">
        <v>372060</v>
      </c>
    </row>
    <row r="2609" spans="1:8" ht="24" customHeight="1" x14ac:dyDescent="0.15">
      <c r="A2609" s="250"/>
      <c r="B2609" s="23" t="s">
        <v>15</v>
      </c>
      <c r="C2609" s="22">
        <v>353</v>
      </c>
      <c r="D2609" s="86">
        <v>949694</v>
      </c>
      <c r="E2609" s="86">
        <v>112221</v>
      </c>
      <c r="F2609" s="87">
        <v>566924</v>
      </c>
      <c r="G2609" s="87">
        <v>270548</v>
      </c>
      <c r="H2609" s="88">
        <v>0</v>
      </c>
    </row>
    <row r="2610" spans="1:8" ht="24" customHeight="1" x14ac:dyDescent="0.15">
      <c r="A2610" s="250"/>
      <c r="B2610" s="23" t="s">
        <v>1934</v>
      </c>
      <c r="C2610" s="22">
        <v>45</v>
      </c>
      <c r="D2610" s="86">
        <v>229800</v>
      </c>
      <c r="E2610" s="86">
        <v>102207</v>
      </c>
      <c r="F2610" s="87">
        <v>16600</v>
      </c>
      <c r="G2610" s="87">
        <v>81292</v>
      </c>
      <c r="H2610" s="88">
        <v>29701</v>
      </c>
    </row>
    <row r="2611" spans="1:8" ht="24" customHeight="1" x14ac:dyDescent="0.15">
      <c r="A2611" s="250"/>
      <c r="B2611" s="23" t="s">
        <v>1935</v>
      </c>
      <c r="C2611" s="22">
        <v>496</v>
      </c>
      <c r="D2611" s="86">
        <v>2443457</v>
      </c>
      <c r="E2611" s="86">
        <v>208259</v>
      </c>
      <c r="F2611" s="87">
        <v>1140509</v>
      </c>
      <c r="G2611" s="87">
        <v>1017793</v>
      </c>
      <c r="H2611" s="88">
        <v>76895</v>
      </c>
    </row>
    <row r="2612" spans="1:8" ht="24" customHeight="1" x14ac:dyDescent="0.15">
      <c r="A2612" s="250"/>
      <c r="B2612" s="23" t="s">
        <v>1936</v>
      </c>
      <c r="C2612" s="22">
        <v>297</v>
      </c>
      <c r="D2612" s="86">
        <v>8814500</v>
      </c>
      <c r="E2612" s="86">
        <v>829170</v>
      </c>
      <c r="F2612" s="87">
        <v>1847700</v>
      </c>
      <c r="G2612" s="87">
        <v>5357200</v>
      </c>
      <c r="H2612" s="88">
        <v>780430</v>
      </c>
    </row>
    <row r="2613" spans="1:8" ht="24" customHeight="1" x14ac:dyDescent="0.15">
      <c r="A2613" s="250"/>
      <c r="B2613" s="23" t="s">
        <v>1937</v>
      </c>
      <c r="C2613" s="22">
        <v>67</v>
      </c>
      <c r="D2613" s="86">
        <v>2373900</v>
      </c>
      <c r="E2613" s="86">
        <v>205200</v>
      </c>
      <c r="F2613" s="87">
        <v>783800</v>
      </c>
      <c r="G2613" s="87">
        <v>1151100</v>
      </c>
      <c r="H2613" s="88">
        <v>233800</v>
      </c>
    </row>
    <row r="2614" spans="1:8" ht="24" customHeight="1" x14ac:dyDescent="0.15">
      <c r="A2614" s="250"/>
      <c r="B2614" s="23" t="s">
        <v>1938</v>
      </c>
      <c r="C2614" s="22">
        <v>0</v>
      </c>
      <c r="D2614" s="86">
        <v>0</v>
      </c>
      <c r="E2614" s="86">
        <v>0</v>
      </c>
      <c r="F2614" s="87">
        <v>0</v>
      </c>
      <c r="G2614" s="87">
        <v>0</v>
      </c>
      <c r="H2614" s="88">
        <v>0</v>
      </c>
    </row>
    <row r="2615" spans="1:8" ht="24" customHeight="1" x14ac:dyDescent="0.15">
      <c r="A2615" s="250"/>
      <c r="B2615" s="23" t="s">
        <v>9</v>
      </c>
      <c r="C2615" s="22">
        <v>0</v>
      </c>
      <c r="D2615" s="86">
        <v>0</v>
      </c>
      <c r="E2615" s="86">
        <v>0</v>
      </c>
      <c r="F2615" s="87">
        <v>0</v>
      </c>
      <c r="G2615" s="87">
        <v>0</v>
      </c>
      <c r="H2615" s="88">
        <v>0</v>
      </c>
    </row>
    <row r="2616" spans="1:8" ht="24" customHeight="1" x14ac:dyDescent="0.15">
      <c r="A2616" s="250"/>
      <c r="B2616" s="23" t="s">
        <v>1939</v>
      </c>
      <c r="C2616" s="22">
        <v>1</v>
      </c>
      <c r="D2616" s="86">
        <v>3000</v>
      </c>
      <c r="E2616" s="86">
        <v>100</v>
      </c>
      <c r="F2616" s="87">
        <v>0</v>
      </c>
      <c r="G2616" s="87">
        <v>2100</v>
      </c>
      <c r="H2616" s="88">
        <v>800</v>
      </c>
    </row>
    <row r="2617" spans="1:8" ht="24" customHeight="1" x14ac:dyDescent="0.15">
      <c r="A2617" s="251"/>
      <c r="B2617" s="23" t="s">
        <v>7</v>
      </c>
      <c r="C2617" s="22">
        <v>22</v>
      </c>
      <c r="D2617" s="86">
        <v>16211</v>
      </c>
      <c r="E2617" s="86">
        <v>466</v>
      </c>
      <c r="F2617" s="87">
        <v>14000</v>
      </c>
      <c r="G2617" s="87">
        <v>1745</v>
      </c>
      <c r="H2617" s="88">
        <v>0</v>
      </c>
    </row>
    <row r="2618" spans="1:8" ht="24" customHeight="1" x14ac:dyDescent="0.15">
      <c r="A2618" s="18" t="s">
        <v>1940</v>
      </c>
      <c r="B2618" s="17" t="s">
        <v>5</v>
      </c>
      <c r="C2618" s="16">
        <v>3319</v>
      </c>
      <c r="D2618" s="80">
        <v>15529456</v>
      </c>
      <c r="E2618" s="80">
        <v>830200</v>
      </c>
      <c r="F2618" s="81">
        <v>6628582</v>
      </c>
      <c r="G2618" s="81">
        <v>5684430</v>
      </c>
      <c r="H2618" s="82">
        <v>2386244</v>
      </c>
    </row>
    <row r="2619" spans="1:8" ht="24" customHeight="1" x14ac:dyDescent="0.15">
      <c r="A2619" s="252" t="s">
        <v>1941</v>
      </c>
      <c r="B2619" s="12" t="s">
        <v>1942</v>
      </c>
      <c r="C2619" s="11">
        <v>5926</v>
      </c>
      <c r="D2619" s="89">
        <v>75874974</v>
      </c>
      <c r="E2619" s="89">
        <v>45755793</v>
      </c>
      <c r="F2619" s="90">
        <v>12763261</v>
      </c>
      <c r="G2619" s="90">
        <v>10751903</v>
      </c>
      <c r="H2619" s="91">
        <v>6604016</v>
      </c>
    </row>
    <row r="2620" spans="1:8" ht="24" customHeight="1" thickBot="1" x14ac:dyDescent="0.2">
      <c r="A2620" s="253"/>
      <c r="B2620" s="7" t="s">
        <v>1943</v>
      </c>
      <c r="C2620" s="6">
        <v>6344</v>
      </c>
      <c r="D2620" s="92" t="s">
        <v>1944</v>
      </c>
      <c r="E2620" s="92" t="s">
        <v>54</v>
      </c>
      <c r="F2620" s="92" t="s">
        <v>54</v>
      </c>
      <c r="G2620" s="92" t="s">
        <v>54</v>
      </c>
      <c r="H2620" s="93" t="s">
        <v>54</v>
      </c>
    </row>
    <row r="2621" spans="1:8" ht="24" customHeight="1" x14ac:dyDescent="0.15">
      <c r="A2621" s="3" t="s">
        <v>1155</v>
      </c>
      <c r="B2621" s="2"/>
      <c r="C2621" s="2"/>
      <c r="D2621" s="2"/>
      <c r="E2621" s="2"/>
      <c r="F2621" s="2"/>
      <c r="G2621" s="2"/>
      <c r="H2621" s="2"/>
    </row>
    <row r="2622" spans="1:8" ht="24" customHeight="1" x14ac:dyDescent="0.15">
      <c r="A2622" s="3" t="s">
        <v>2587</v>
      </c>
      <c r="B2622" s="2"/>
      <c r="C2622" s="2"/>
      <c r="D2622" s="2"/>
      <c r="E2622" s="2"/>
      <c r="F2622" s="2"/>
      <c r="G2622" s="2"/>
      <c r="H2622" s="2"/>
    </row>
    <row r="2623" spans="1:8" ht="24" customHeight="1" x14ac:dyDescent="0.15">
      <c r="A2623" s="3" t="s">
        <v>1156</v>
      </c>
      <c r="B2623" s="2"/>
      <c r="C2623" s="2"/>
      <c r="D2623" s="2"/>
      <c r="E2623" s="2"/>
      <c r="F2623" s="2"/>
      <c r="G2623" s="2"/>
      <c r="H2623" s="2"/>
    </row>
    <row r="2624" spans="1:8" ht="24" customHeight="1" x14ac:dyDescent="0.15">
      <c r="A2624" s="3" t="s">
        <v>1945</v>
      </c>
      <c r="B2624" s="2"/>
      <c r="C2624" s="2"/>
      <c r="D2624" s="2"/>
      <c r="E2624" s="2"/>
      <c r="F2624" s="2"/>
      <c r="G2624" s="2"/>
      <c r="H2624" s="2"/>
    </row>
    <row r="2625" spans="1:8" ht="24" customHeight="1" x14ac:dyDescent="0.15">
      <c r="A2625" s="230" t="s">
        <v>1879</v>
      </c>
      <c r="B2625" s="230"/>
      <c r="C2625" s="230"/>
      <c r="D2625" s="230"/>
      <c r="E2625" s="230"/>
      <c r="F2625" s="230"/>
      <c r="G2625" s="230"/>
      <c r="H2625" s="230"/>
    </row>
    <row r="2626" spans="1:8" ht="24" customHeight="1" x14ac:dyDescent="0.15">
      <c r="A2626" s="231"/>
      <c r="B2626" s="231"/>
      <c r="C2626" s="231"/>
      <c r="D2626" s="231"/>
      <c r="E2626" s="231"/>
      <c r="F2626" s="231"/>
      <c r="G2626" s="231"/>
      <c r="H2626" s="231"/>
    </row>
    <row r="2627" spans="1:8" ht="24" customHeight="1" thickBot="1" x14ac:dyDescent="0.2">
      <c r="A2627" s="58" t="s">
        <v>1880</v>
      </c>
    </row>
    <row r="2628" spans="1:8" ht="24" customHeight="1" x14ac:dyDescent="0.15">
      <c r="A2628" s="232" t="s">
        <v>47</v>
      </c>
      <c r="B2628" s="235" t="s">
        <v>46</v>
      </c>
      <c r="C2628" s="238" t="s">
        <v>45</v>
      </c>
      <c r="D2628" s="241" t="s">
        <v>44</v>
      </c>
      <c r="E2628" s="57"/>
      <c r="F2628" s="56"/>
      <c r="G2628" s="56"/>
      <c r="H2628" s="55"/>
    </row>
    <row r="2629" spans="1:8" ht="24" customHeight="1" x14ac:dyDescent="0.15">
      <c r="A2629" s="233"/>
      <c r="B2629" s="236"/>
      <c r="C2629" s="239"/>
      <c r="D2629" s="242"/>
      <c r="E2629" s="244" t="s">
        <v>43</v>
      </c>
      <c r="F2629" s="246" t="s">
        <v>42</v>
      </c>
      <c r="G2629" s="246" t="s">
        <v>41</v>
      </c>
      <c r="H2629" s="248" t="s">
        <v>40</v>
      </c>
    </row>
    <row r="2630" spans="1:8" ht="24" customHeight="1" thickBot="1" x14ac:dyDescent="0.2">
      <c r="A2630" s="234"/>
      <c r="B2630" s="237"/>
      <c r="C2630" s="240"/>
      <c r="D2630" s="243"/>
      <c r="E2630" s="245"/>
      <c r="F2630" s="247"/>
      <c r="G2630" s="247"/>
      <c r="H2630" s="249"/>
    </row>
    <row r="2631" spans="1:8" ht="24" customHeight="1" thickTop="1" x14ac:dyDescent="0.15">
      <c r="A2631" s="54"/>
      <c r="B2631" s="53"/>
      <c r="C2631" s="52"/>
      <c r="D2631" s="51" t="s">
        <v>39</v>
      </c>
      <c r="E2631" s="50" t="s">
        <v>1881</v>
      </c>
      <c r="F2631" s="49" t="s">
        <v>39</v>
      </c>
      <c r="G2631" s="49" t="s">
        <v>39</v>
      </c>
      <c r="H2631" s="48" t="s">
        <v>39</v>
      </c>
    </row>
    <row r="2632" spans="1:8" ht="24" customHeight="1" x14ac:dyDescent="0.15">
      <c r="A2632" s="250" t="s">
        <v>1882</v>
      </c>
      <c r="B2632" s="61" t="s">
        <v>37</v>
      </c>
      <c r="C2632" s="62">
        <v>3761</v>
      </c>
      <c r="D2632" s="63">
        <v>636539109</v>
      </c>
      <c r="E2632" s="63">
        <v>242907975</v>
      </c>
      <c r="F2632" s="64">
        <v>193473488</v>
      </c>
      <c r="G2632" s="64">
        <v>196442004</v>
      </c>
      <c r="H2632" s="65">
        <v>3715641</v>
      </c>
    </row>
    <row r="2633" spans="1:8" ht="24" customHeight="1" x14ac:dyDescent="0.15">
      <c r="A2633" s="250"/>
      <c r="B2633" s="66" t="s">
        <v>1883</v>
      </c>
      <c r="C2633" s="67">
        <v>28</v>
      </c>
      <c r="D2633" s="68">
        <v>290758</v>
      </c>
      <c r="E2633" s="68">
        <v>78009</v>
      </c>
      <c r="F2633" s="69">
        <v>188526</v>
      </c>
      <c r="G2633" s="69">
        <v>24222</v>
      </c>
      <c r="H2633" s="70">
        <v>0</v>
      </c>
    </row>
    <row r="2634" spans="1:8" ht="24" customHeight="1" x14ac:dyDescent="0.15">
      <c r="A2634" s="250"/>
      <c r="B2634" s="66" t="s">
        <v>35</v>
      </c>
      <c r="C2634" s="67">
        <v>121</v>
      </c>
      <c r="D2634" s="68">
        <v>0</v>
      </c>
      <c r="E2634" s="68">
        <v>0</v>
      </c>
      <c r="F2634" s="69">
        <v>0</v>
      </c>
      <c r="G2634" s="69">
        <v>0</v>
      </c>
      <c r="H2634" s="70">
        <v>0</v>
      </c>
    </row>
    <row r="2635" spans="1:8" ht="24" customHeight="1" x14ac:dyDescent="0.15">
      <c r="A2635" s="250"/>
      <c r="B2635" s="71" t="s">
        <v>1884</v>
      </c>
      <c r="C2635" s="72">
        <v>1</v>
      </c>
      <c r="D2635" s="73">
        <v>172522</v>
      </c>
      <c r="E2635" s="73">
        <v>130752</v>
      </c>
      <c r="F2635" s="74">
        <v>8524</v>
      </c>
      <c r="G2635" s="74">
        <v>31510</v>
      </c>
      <c r="H2635" s="75">
        <v>1735</v>
      </c>
    </row>
    <row r="2636" spans="1:8" ht="22.5" customHeight="1" x14ac:dyDescent="0.15">
      <c r="A2636" s="250"/>
      <c r="B2636" s="66" t="s">
        <v>1885</v>
      </c>
      <c r="C2636" s="67">
        <v>69</v>
      </c>
      <c r="D2636" s="68">
        <v>13731585</v>
      </c>
      <c r="E2636" s="68">
        <v>3755271</v>
      </c>
      <c r="F2636" s="69">
        <v>3780189</v>
      </c>
      <c r="G2636" s="69">
        <v>6091510</v>
      </c>
      <c r="H2636" s="70">
        <v>104613</v>
      </c>
    </row>
    <row r="2637" spans="1:8" ht="24" customHeight="1" x14ac:dyDescent="0.15">
      <c r="A2637" s="250"/>
      <c r="B2637" s="76" t="s">
        <v>1886</v>
      </c>
      <c r="C2637" s="67">
        <v>189</v>
      </c>
      <c r="D2637" s="68">
        <v>37069498</v>
      </c>
      <c r="E2637" s="68">
        <v>3791632</v>
      </c>
      <c r="F2637" s="69">
        <v>1332651</v>
      </c>
      <c r="G2637" s="69">
        <v>31893476</v>
      </c>
      <c r="H2637" s="70">
        <v>51738</v>
      </c>
    </row>
    <row r="2638" spans="1:8" ht="24" customHeight="1" x14ac:dyDescent="0.15">
      <c r="A2638" s="251"/>
      <c r="B2638" s="77" t="s">
        <v>1887</v>
      </c>
      <c r="C2638" s="72">
        <v>40</v>
      </c>
      <c r="D2638" s="73">
        <v>222908</v>
      </c>
      <c r="E2638" s="73">
        <v>191624</v>
      </c>
      <c r="F2638" s="74">
        <v>3169</v>
      </c>
      <c r="G2638" s="74">
        <v>27778</v>
      </c>
      <c r="H2638" s="75">
        <v>335</v>
      </c>
    </row>
    <row r="2639" spans="1:8" ht="24" customHeight="1" x14ac:dyDescent="0.15">
      <c r="A2639" s="30" t="s">
        <v>1888</v>
      </c>
      <c r="B2639" s="78" t="s">
        <v>1889</v>
      </c>
      <c r="C2639" s="79">
        <v>30</v>
      </c>
      <c r="D2639" s="80">
        <v>173175</v>
      </c>
      <c r="E2639" s="80">
        <v>171163</v>
      </c>
      <c r="F2639" s="81">
        <v>701</v>
      </c>
      <c r="G2639" s="81">
        <v>696</v>
      </c>
      <c r="H2639" s="82">
        <v>614</v>
      </c>
    </row>
    <row r="2640" spans="1:8" ht="24" customHeight="1" x14ac:dyDescent="0.15">
      <c r="A2640" s="252" t="s">
        <v>28</v>
      </c>
      <c r="B2640" s="17" t="s">
        <v>27</v>
      </c>
      <c r="C2640" s="16">
        <v>3174</v>
      </c>
      <c r="D2640" s="83">
        <v>61702202</v>
      </c>
      <c r="E2640" s="83">
        <v>9704624</v>
      </c>
      <c r="F2640" s="84">
        <v>12206408</v>
      </c>
      <c r="G2640" s="84">
        <v>31716681</v>
      </c>
      <c r="H2640" s="85">
        <v>8074488</v>
      </c>
    </row>
    <row r="2641" spans="1:8" ht="24" customHeight="1" x14ac:dyDescent="0.15">
      <c r="A2641" s="250"/>
      <c r="B2641" s="23" t="s">
        <v>26</v>
      </c>
      <c r="C2641" s="22">
        <v>3193</v>
      </c>
      <c r="D2641" s="86">
        <v>14549728</v>
      </c>
      <c r="E2641" s="86">
        <v>646081</v>
      </c>
      <c r="F2641" s="87">
        <v>4229063</v>
      </c>
      <c r="G2641" s="87">
        <v>7890432</v>
      </c>
      <c r="H2641" s="88">
        <v>1784150</v>
      </c>
    </row>
    <row r="2642" spans="1:8" ht="24" customHeight="1" x14ac:dyDescent="0.15">
      <c r="A2642" s="250"/>
      <c r="B2642" s="24" t="s">
        <v>25</v>
      </c>
      <c r="C2642" s="22">
        <v>632</v>
      </c>
      <c r="D2642" s="86">
        <v>30457940</v>
      </c>
      <c r="E2642" s="86">
        <v>2215933</v>
      </c>
      <c r="F2642" s="87">
        <v>9469430</v>
      </c>
      <c r="G2642" s="87">
        <v>14407294</v>
      </c>
      <c r="H2642" s="88">
        <v>4365281</v>
      </c>
    </row>
    <row r="2643" spans="1:8" s="60" customFormat="1" ht="24" customHeight="1" x14ac:dyDescent="0.15">
      <c r="A2643" s="250"/>
      <c r="B2643" s="23" t="s">
        <v>24</v>
      </c>
      <c r="C2643" s="22">
        <v>1752</v>
      </c>
      <c r="D2643" s="86">
        <v>51191600</v>
      </c>
      <c r="E2643" s="86">
        <v>5141860</v>
      </c>
      <c r="F2643" s="87">
        <v>10500748</v>
      </c>
      <c r="G2643" s="87">
        <v>31209902</v>
      </c>
      <c r="H2643" s="88">
        <v>4339089</v>
      </c>
    </row>
    <row r="2644" spans="1:8" ht="24" customHeight="1" x14ac:dyDescent="0.15">
      <c r="A2644" s="250"/>
      <c r="B2644" s="23" t="s">
        <v>23</v>
      </c>
      <c r="C2644" s="22">
        <v>353</v>
      </c>
      <c r="D2644" s="86">
        <v>4651750</v>
      </c>
      <c r="E2644" s="86">
        <v>320446</v>
      </c>
      <c r="F2644" s="87">
        <v>88699</v>
      </c>
      <c r="G2644" s="87">
        <v>4202850</v>
      </c>
      <c r="H2644" s="88">
        <v>39754</v>
      </c>
    </row>
    <row r="2645" spans="1:8" ht="24" customHeight="1" x14ac:dyDescent="0.15">
      <c r="A2645" s="250"/>
      <c r="B2645" s="23" t="s">
        <v>22</v>
      </c>
      <c r="C2645" s="22">
        <v>126</v>
      </c>
      <c r="D2645" s="86">
        <v>1156300</v>
      </c>
      <c r="E2645" s="86">
        <v>290150</v>
      </c>
      <c r="F2645" s="87">
        <v>86800</v>
      </c>
      <c r="G2645" s="87">
        <v>501480</v>
      </c>
      <c r="H2645" s="88">
        <v>277870</v>
      </c>
    </row>
    <row r="2646" spans="1:8" ht="24" customHeight="1" x14ac:dyDescent="0.15">
      <c r="A2646" s="250"/>
      <c r="B2646" s="23" t="s">
        <v>21</v>
      </c>
      <c r="C2646" s="22">
        <v>28</v>
      </c>
      <c r="D2646" s="86">
        <v>227421</v>
      </c>
      <c r="E2646" s="86">
        <v>122487</v>
      </c>
      <c r="F2646" s="87">
        <v>14710</v>
      </c>
      <c r="G2646" s="87">
        <v>49105</v>
      </c>
      <c r="H2646" s="88">
        <v>41119</v>
      </c>
    </row>
    <row r="2647" spans="1:8" ht="24" customHeight="1" x14ac:dyDescent="0.15">
      <c r="A2647" s="250"/>
      <c r="B2647" s="23" t="s">
        <v>1890</v>
      </c>
      <c r="C2647" s="22">
        <v>0</v>
      </c>
      <c r="D2647" s="86">
        <v>0</v>
      </c>
      <c r="E2647" s="86">
        <v>0</v>
      </c>
      <c r="F2647" s="87">
        <v>0</v>
      </c>
      <c r="G2647" s="87">
        <v>0</v>
      </c>
      <c r="H2647" s="88">
        <v>0</v>
      </c>
    </row>
    <row r="2648" spans="1:8" ht="24" customHeight="1" x14ac:dyDescent="0.15">
      <c r="A2648" s="250"/>
      <c r="B2648" s="23" t="s">
        <v>1891</v>
      </c>
      <c r="C2648" s="22">
        <v>243</v>
      </c>
      <c r="D2648" s="86">
        <v>8056110</v>
      </c>
      <c r="E2648" s="86">
        <v>808320</v>
      </c>
      <c r="F2648" s="87">
        <v>2794180</v>
      </c>
      <c r="G2648" s="87">
        <v>3065230</v>
      </c>
      <c r="H2648" s="88">
        <v>1388380</v>
      </c>
    </row>
    <row r="2649" spans="1:8" ht="24" customHeight="1" x14ac:dyDescent="0.15">
      <c r="A2649" s="250"/>
      <c r="B2649" s="23" t="s">
        <v>1892</v>
      </c>
      <c r="C2649" s="22">
        <v>3302</v>
      </c>
      <c r="D2649" s="86">
        <v>63832868</v>
      </c>
      <c r="E2649" s="86">
        <v>14673167</v>
      </c>
      <c r="F2649" s="87">
        <v>10217192</v>
      </c>
      <c r="G2649" s="87">
        <v>31698656</v>
      </c>
      <c r="H2649" s="88">
        <v>7243851</v>
      </c>
    </row>
    <row r="2650" spans="1:8" ht="24" customHeight="1" x14ac:dyDescent="0.15">
      <c r="A2650" s="250"/>
      <c r="B2650" s="23" t="s">
        <v>17</v>
      </c>
      <c r="C2650" s="22">
        <v>628</v>
      </c>
      <c r="D2650" s="86">
        <v>14954460</v>
      </c>
      <c r="E2650" s="86">
        <v>2696214</v>
      </c>
      <c r="F2650" s="87">
        <v>2797436</v>
      </c>
      <c r="G2650" s="87">
        <v>8029689</v>
      </c>
      <c r="H2650" s="88">
        <v>1431119</v>
      </c>
    </row>
    <row r="2651" spans="1:8" ht="24" customHeight="1" x14ac:dyDescent="0.15">
      <c r="A2651" s="250"/>
      <c r="B2651" s="23" t="s">
        <v>1893</v>
      </c>
      <c r="C2651" s="22">
        <v>54082</v>
      </c>
      <c r="D2651" s="86">
        <v>13239535</v>
      </c>
      <c r="E2651" s="86">
        <v>1128705</v>
      </c>
      <c r="F2651" s="87">
        <v>5309580</v>
      </c>
      <c r="G2651" s="87">
        <v>6430759</v>
      </c>
      <c r="H2651" s="88">
        <v>370490</v>
      </c>
    </row>
    <row r="2652" spans="1:8" ht="24" customHeight="1" x14ac:dyDescent="0.15">
      <c r="A2652" s="250"/>
      <c r="B2652" s="23" t="s">
        <v>1894</v>
      </c>
      <c r="C2652" s="22">
        <v>510</v>
      </c>
      <c r="D2652" s="86">
        <v>1313602</v>
      </c>
      <c r="E2652" s="86">
        <v>112221</v>
      </c>
      <c r="F2652" s="87">
        <v>821488</v>
      </c>
      <c r="G2652" s="87">
        <v>379893</v>
      </c>
      <c r="H2652" s="88">
        <v>0</v>
      </c>
    </row>
    <row r="2653" spans="1:8" ht="24" customHeight="1" x14ac:dyDescent="0.15">
      <c r="A2653" s="250"/>
      <c r="B2653" s="23" t="s">
        <v>14</v>
      </c>
      <c r="C2653" s="22">
        <v>45</v>
      </c>
      <c r="D2653" s="86">
        <v>229800</v>
      </c>
      <c r="E2653" s="86">
        <v>101911</v>
      </c>
      <c r="F2653" s="87">
        <v>16600</v>
      </c>
      <c r="G2653" s="87">
        <v>81588</v>
      </c>
      <c r="H2653" s="88">
        <v>29701</v>
      </c>
    </row>
    <row r="2654" spans="1:8" ht="24" customHeight="1" x14ac:dyDescent="0.15">
      <c r="A2654" s="250"/>
      <c r="B2654" s="23" t="s">
        <v>1895</v>
      </c>
      <c r="C2654" s="22">
        <v>479</v>
      </c>
      <c r="D2654" s="86">
        <v>2341029</v>
      </c>
      <c r="E2654" s="86">
        <v>198913</v>
      </c>
      <c r="F2654" s="87">
        <v>1121873</v>
      </c>
      <c r="G2654" s="87">
        <v>962422</v>
      </c>
      <c r="H2654" s="88">
        <v>57820</v>
      </c>
    </row>
    <row r="2655" spans="1:8" ht="24" customHeight="1" x14ac:dyDescent="0.15">
      <c r="A2655" s="250"/>
      <c r="B2655" s="23" t="s">
        <v>1896</v>
      </c>
      <c r="C2655" s="22">
        <v>299</v>
      </c>
      <c r="D2655" s="86">
        <v>8847900</v>
      </c>
      <c r="E2655" s="86">
        <v>837070</v>
      </c>
      <c r="F2655" s="87">
        <v>1840600</v>
      </c>
      <c r="G2655" s="87">
        <v>5392200</v>
      </c>
      <c r="H2655" s="88">
        <v>778030</v>
      </c>
    </row>
    <row r="2656" spans="1:8" ht="24" customHeight="1" x14ac:dyDescent="0.15">
      <c r="A2656" s="250"/>
      <c r="B2656" s="23" t="s">
        <v>1897</v>
      </c>
      <c r="C2656" s="22">
        <v>65</v>
      </c>
      <c r="D2656" s="86">
        <v>2166000</v>
      </c>
      <c r="E2656" s="86">
        <v>169200</v>
      </c>
      <c r="F2656" s="87">
        <v>710900</v>
      </c>
      <c r="G2656" s="87">
        <v>1063700</v>
      </c>
      <c r="H2656" s="88">
        <v>222200</v>
      </c>
    </row>
    <row r="2657" spans="1:8" ht="24" customHeight="1" x14ac:dyDescent="0.15">
      <c r="A2657" s="250"/>
      <c r="B2657" s="23" t="s">
        <v>1898</v>
      </c>
      <c r="C2657" s="22">
        <v>0</v>
      </c>
      <c r="D2657" s="86">
        <v>0</v>
      </c>
      <c r="E2657" s="86">
        <v>0</v>
      </c>
      <c r="F2657" s="87">
        <v>0</v>
      </c>
      <c r="G2657" s="87">
        <v>0</v>
      </c>
      <c r="H2657" s="88">
        <v>0</v>
      </c>
    </row>
    <row r="2658" spans="1:8" ht="24" customHeight="1" x14ac:dyDescent="0.15">
      <c r="A2658" s="250"/>
      <c r="B2658" s="23" t="s">
        <v>1899</v>
      </c>
      <c r="C2658" s="22">
        <v>3</v>
      </c>
      <c r="D2658" s="86">
        <v>10800</v>
      </c>
      <c r="E2658" s="86">
        <v>0</v>
      </c>
      <c r="F2658" s="87">
        <v>0</v>
      </c>
      <c r="G2658" s="87">
        <v>10800</v>
      </c>
      <c r="H2658" s="88">
        <v>0</v>
      </c>
    </row>
    <row r="2659" spans="1:8" ht="24" customHeight="1" x14ac:dyDescent="0.15">
      <c r="A2659" s="250"/>
      <c r="B2659" s="23" t="s">
        <v>1900</v>
      </c>
      <c r="C2659" s="22">
        <v>1</v>
      </c>
      <c r="D2659" s="86">
        <v>3000</v>
      </c>
      <c r="E2659" s="86">
        <v>100</v>
      </c>
      <c r="F2659" s="87">
        <v>0</v>
      </c>
      <c r="G2659" s="87">
        <v>2100</v>
      </c>
      <c r="H2659" s="88">
        <v>800</v>
      </c>
    </row>
    <row r="2660" spans="1:8" ht="24" customHeight="1" x14ac:dyDescent="0.15">
      <c r="A2660" s="251"/>
      <c r="B2660" s="23" t="s">
        <v>1901</v>
      </c>
      <c r="C2660" s="22">
        <v>22</v>
      </c>
      <c r="D2660" s="86">
        <v>16211</v>
      </c>
      <c r="E2660" s="86">
        <v>466</v>
      </c>
      <c r="F2660" s="87">
        <v>14000</v>
      </c>
      <c r="G2660" s="87">
        <v>1745</v>
      </c>
      <c r="H2660" s="88">
        <v>0</v>
      </c>
    </row>
    <row r="2661" spans="1:8" ht="24" customHeight="1" x14ac:dyDescent="0.15">
      <c r="A2661" s="18" t="s">
        <v>1902</v>
      </c>
      <c r="B2661" s="17" t="s">
        <v>1903</v>
      </c>
      <c r="C2661" s="16">
        <v>3370</v>
      </c>
      <c r="D2661" s="80">
        <v>20683012</v>
      </c>
      <c r="E2661" s="80">
        <v>780400</v>
      </c>
      <c r="F2661" s="81">
        <v>9192663</v>
      </c>
      <c r="G2661" s="81">
        <v>7279949</v>
      </c>
      <c r="H2661" s="82">
        <v>3430000</v>
      </c>
    </row>
    <row r="2662" spans="1:8" ht="24" customHeight="1" x14ac:dyDescent="0.15">
      <c r="A2662" s="252" t="s">
        <v>1904</v>
      </c>
      <c r="B2662" s="12" t="s">
        <v>1905</v>
      </c>
      <c r="C2662" s="11">
        <v>5934</v>
      </c>
      <c r="D2662" s="89">
        <v>75793118</v>
      </c>
      <c r="E2662" s="89">
        <v>45889513</v>
      </c>
      <c r="F2662" s="90">
        <v>12682096</v>
      </c>
      <c r="G2662" s="90">
        <v>10673225</v>
      </c>
      <c r="H2662" s="91">
        <v>6548282</v>
      </c>
    </row>
    <row r="2663" spans="1:8" ht="24" customHeight="1" thickBot="1" x14ac:dyDescent="0.2">
      <c r="A2663" s="253"/>
      <c r="B2663" s="7" t="s">
        <v>1906</v>
      </c>
      <c r="C2663" s="6">
        <v>6262</v>
      </c>
      <c r="D2663" s="92" t="s">
        <v>1907</v>
      </c>
      <c r="E2663" s="92" t="s">
        <v>54</v>
      </c>
      <c r="F2663" s="92" t="s">
        <v>54</v>
      </c>
      <c r="G2663" s="92" t="s">
        <v>54</v>
      </c>
      <c r="H2663" s="93" t="s">
        <v>54</v>
      </c>
    </row>
    <row r="2664" spans="1:8" ht="24" customHeight="1" x14ac:dyDescent="0.15">
      <c r="A2664" s="3" t="s">
        <v>1908</v>
      </c>
      <c r="B2664" s="2"/>
      <c r="C2664" s="2"/>
      <c r="D2664" s="2"/>
      <c r="E2664" s="2"/>
      <c r="F2664" s="2"/>
      <c r="G2664" s="2"/>
      <c r="H2664" s="2"/>
    </row>
    <row r="2665" spans="1:8" ht="24" customHeight="1" x14ac:dyDescent="0.15">
      <c r="A2665" s="3" t="s">
        <v>2587</v>
      </c>
      <c r="B2665" s="2"/>
      <c r="C2665" s="2"/>
      <c r="D2665" s="2"/>
      <c r="E2665" s="2"/>
      <c r="F2665" s="2"/>
      <c r="G2665" s="2"/>
      <c r="H2665" s="2"/>
    </row>
    <row r="2666" spans="1:8" ht="24" customHeight="1" x14ac:dyDescent="0.15">
      <c r="A2666" s="3" t="s">
        <v>1909</v>
      </c>
      <c r="B2666" s="2"/>
      <c r="C2666" s="2"/>
      <c r="D2666" s="2"/>
      <c r="E2666" s="2"/>
      <c r="F2666" s="2"/>
      <c r="G2666" s="2"/>
      <c r="H2666" s="2"/>
    </row>
    <row r="2667" spans="1:8" ht="24" customHeight="1" x14ac:dyDescent="0.15">
      <c r="A2667" s="3" t="s">
        <v>1910</v>
      </c>
      <c r="B2667" s="2"/>
      <c r="C2667" s="2"/>
      <c r="D2667" s="2"/>
      <c r="E2667" s="2"/>
      <c r="F2667" s="2"/>
      <c r="G2667" s="2"/>
      <c r="H2667" s="2"/>
    </row>
    <row r="2668" spans="1:8" ht="24" customHeight="1" x14ac:dyDescent="0.15">
      <c r="A2668" s="230" t="s">
        <v>1848</v>
      </c>
      <c r="B2668" s="230"/>
      <c r="C2668" s="230"/>
      <c r="D2668" s="230"/>
      <c r="E2668" s="230"/>
      <c r="F2668" s="230"/>
      <c r="G2668" s="230"/>
      <c r="H2668" s="230"/>
    </row>
    <row r="2669" spans="1:8" ht="24" customHeight="1" x14ac:dyDescent="0.15">
      <c r="A2669" s="231"/>
      <c r="B2669" s="231"/>
      <c r="C2669" s="231"/>
      <c r="D2669" s="231"/>
      <c r="E2669" s="231"/>
      <c r="F2669" s="231"/>
      <c r="G2669" s="231"/>
      <c r="H2669" s="231"/>
    </row>
    <row r="2670" spans="1:8" ht="24" customHeight="1" thickBot="1" x14ac:dyDescent="0.2">
      <c r="A2670" s="58" t="s">
        <v>1849</v>
      </c>
    </row>
    <row r="2671" spans="1:8" ht="24" customHeight="1" x14ac:dyDescent="0.15">
      <c r="A2671" s="232" t="s">
        <v>1850</v>
      </c>
      <c r="B2671" s="235" t="s">
        <v>1851</v>
      </c>
      <c r="C2671" s="238" t="s">
        <v>45</v>
      </c>
      <c r="D2671" s="241" t="s">
        <v>1852</v>
      </c>
      <c r="E2671" s="57"/>
      <c r="F2671" s="56"/>
      <c r="G2671" s="56"/>
      <c r="H2671" s="55"/>
    </row>
    <row r="2672" spans="1:8" ht="24" customHeight="1" x14ac:dyDescent="0.15">
      <c r="A2672" s="233"/>
      <c r="B2672" s="236"/>
      <c r="C2672" s="239"/>
      <c r="D2672" s="242"/>
      <c r="E2672" s="244" t="s">
        <v>1853</v>
      </c>
      <c r="F2672" s="246" t="s">
        <v>1854</v>
      </c>
      <c r="G2672" s="246" t="s">
        <v>41</v>
      </c>
      <c r="H2672" s="248" t="s">
        <v>1855</v>
      </c>
    </row>
    <row r="2673" spans="1:8" ht="24" customHeight="1" thickBot="1" x14ac:dyDescent="0.2">
      <c r="A2673" s="234"/>
      <c r="B2673" s="237"/>
      <c r="C2673" s="240"/>
      <c r="D2673" s="243"/>
      <c r="E2673" s="245"/>
      <c r="F2673" s="247"/>
      <c r="G2673" s="247"/>
      <c r="H2673" s="249"/>
    </row>
    <row r="2674" spans="1:8" ht="24" customHeight="1" thickTop="1" x14ac:dyDescent="0.15">
      <c r="A2674" s="54"/>
      <c r="B2674" s="53"/>
      <c r="C2674" s="52"/>
      <c r="D2674" s="51" t="s">
        <v>1856</v>
      </c>
      <c r="E2674" s="50" t="s">
        <v>1856</v>
      </c>
      <c r="F2674" s="49" t="s">
        <v>1856</v>
      </c>
      <c r="G2674" s="49" t="s">
        <v>1856</v>
      </c>
      <c r="H2674" s="48" t="s">
        <v>39</v>
      </c>
    </row>
    <row r="2675" spans="1:8" ht="24" customHeight="1" x14ac:dyDescent="0.15">
      <c r="A2675" s="250" t="s">
        <v>1857</v>
      </c>
      <c r="B2675" s="61" t="s">
        <v>1858</v>
      </c>
      <c r="C2675" s="62">
        <v>3756</v>
      </c>
      <c r="D2675" s="63">
        <v>621896725</v>
      </c>
      <c r="E2675" s="63">
        <v>236253894</v>
      </c>
      <c r="F2675" s="64">
        <v>189741693</v>
      </c>
      <c r="G2675" s="64">
        <v>192296341</v>
      </c>
      <c r="H2675" s="65">
        <v>3604795</v>
      </c>
    </row>
    <row r="2676" spans="1:8" ht="22.5" customHeight="1" x14ac:dyDescent="0.15">
      <c r="A2676" s="250"/>
      <c r="B2676" s="66" t="s">
        <v>1859</v>
      </c>
      <c r="C2676" s="67">
        <v>30</v>
      </c>
      <c r="D2676" s="68">
        <v>293645</v>
      </c>
      <c r="E2676" s="68">
        <v>78448</v>
      </c>
      <c r="F2676" s="69">
        <v>192400</v>
      </c>
      <c r="G2676" s="69">
        <v>22796</v>
      </c>
      <c r="H2676" s="70">
        <v>0</v>
      </c>
    </row>
    <row r="2677" spans="1:8" ht="24" customHeight="1" x14ac:dyDescent="0.15">
      <c r="A2677" s="250"/>
      <c r="B2677" s="66" t="s">
        <v>1860</v>
      </c>
      <c r="C2677" s="67">
        <v>120</v>
      </c>
      <c r="D2677" s="68">
        <v>0</v>
      </c>
      <c r="E2677" s="68">
        <v>0</v>
      </c>
      <c r="F2677" s="69">
        <v>0</v>
      </c>
      <c r="G2677" s="69">
        <v>0</v>
      </c>
      <c r="H2677" s="70">
        <v>0</v>
      </c>
    </row>
    <row r="2678" spans="1:8" ht="24" customHeight="1" x14ac:dyDescent="0.15">
      <c r="A2678" s="250"/>
      <c r="B2678" s="71" t="s">
        <v>1861</v>
      </c>
      <c r="C2678" s="72">
        <v>1</v>
      </c>
      <c r="D2678" s="73">
        <v>170327</v>
      </c>
      <c r="E2678" s="73">
        <v>129083</v>
      </c>
      <c r="F2678" s="74">
        <v>8421</v>
      </c>
      <c r="G2678" s="74">
        <v>31109</v>
      </c>
      <c r="H2678" s="75">
        <v>1713</v>
      </c>
    </row>
    <row r="2679" spans="1:8" ht="24" customHeight="1" x14ac:dyDescent="0.15">
      <c r="A2679" s="250"/>
      <c r="B2679" s="66" t="s">
        <v>1862</v>
      </c>
      <c r="C2679" s="67">
        <v>67</v>
      </c>
      <c r="D2679" s="68">
        <v>13624964</v>
      </c>
      <c r="E2679" s="68">
        <v>3677336</v>
      </c>
      <c r="F2679" s="69">
        <v>3699651</v>
      </c>
      <c r="G2679" s="69">
        <v>6165107</v>
      </c>
      <c r="H2679" s="70">
        <v>82867</v>
      </c>
    </row>
    <row r="2680" spans="1:8" ht="24" customHeight="1" x14ac:dyDescent="0.15">
      <c r="A2680" s="250"/>
      <c r="B2680" s="76" t="s">
        <v>1863</v>
      </c>
      <c r="C2680" s="67">
        <v>184</v>
      </c>
      <c r="D2680" s="68">
        <v>35701430</v>
      </c>
      <c r="E2680" s="68">
        <v>3762689</v>
      </c>
      <c r="F2680" s="69">
        <v>1318816</v>
      </c>
      <c r="G2680" s="69">
        <v>30554554</v>
      </c>
      <c r="H2680" s="70">
        <v>65371</v>
      </c>
    </row>
    <row r="2681" spans="1:8" ht="24" customHeight="1" x14ac:dyDescent="0.15">
      <c r="A2681" s="251"/>
      <c r="B2681" s="77" t="s">
        <v>31</v>
      </c>
      <c r="C2681" s="72">
        <v>40</v>
      </c>
      <c r="D2681" s="73">
        <v>211782</v>
      </c>
      <c r="E2681" s="73">
        <v>182055</v>
      </c>
      <c r="F2681" s="74">
        <v>3082</v>
      </c>
      <c r="G2681" s="74">
        <v>26368</v>
      </c>
      <c r="H2681" s="75">
        <v>276</v>
      </c>
    </row>
    <row r="2682" spans="1:8" ht="24" customHeight="1" x14ac:dyDescent="0.15">
      <c r="A2682" s="30" t="s">
        <v>1864</v>
      </c>
      <c r="B2682" s="78" t="s">
        <v>1865</v>
      </c>
      <c r="C2682" s="79">
        <v>31</v>
      </c>
      <c r="D2682" s="80">
        <v>97577</v>
      </c>
      <c r="E2682" s="80">
        <v>95832</v>
      </c>
      <c r="F2682" s="81">
        <v>696</v>
      </c>
      <c r="G2682" s="81">
        <v>590</v>
      </c>
      <c r="H2682" s="82">
        <v>457</v>
      </c>
    </row>
    <row r="2683" spans="1:8" s="60" customFormat="1" ht="24" customHeight="1" x14ac:dyDescent="0.15">
      <c r="A2683" s="252" t="s">
        <v>28</v>
      </c>
      <c r="B2683" s="17" t="s">
        <v>1866</v>
      </c>
      <c r="C2683" s="16">
        <v>3174</v>
      </c>
      <c r="D2683" s="83">
        <v>61689102</v>
      </c>
      <c r="E2683" s="83">
        <v>9709305</v>
      </c>
      <c r="F2683" s="84">
        <v>12058764</v>
      </c>
      <c r="G2683" s="84">
        <v>31896141</v>
      </c>
      <c r="H2683" s="85">
        <v>8024891</v>
      </c>
    </row>
    <row r="2684" spans="1:8" ht="24" customHeight="1" x14ac:dyDescent="0.15">
      <c r="A2684" s="250"/>
      <c r="B2684" s="23" t="s">
        <v>26</v>
      </c>
      <c r="C2684" s="22">
        <v>3185</v>
      </c>
      <c r="D2684" s="86">
        <v>14529048</v>
      </c>
      <c r="E2684" s="86">
        <v>623666</v>
      </c>
      <c r="F2684" s="87">
        <v>4164906</v>
      </c>
      <c r="G2684" s="87">
        <v>7957179</v>
      </c>
      <c r="H2684" s="88">
        <v>1783295</v>
      </c>
    </row>
    <row r="2685" spans="1:8" ht="24" customHeight="1" x14ac:dyDescent="0.15">
      <c r="A2685" s="250"/>
      <c r="B2685" s="24" t="s">
        <v>25</v>
      </c>
      <c r="C2685" s="22">
        <v>631</v>
      </c>
      <c r="D2685" s="86">
        <v>30626440</v>
      </c>
      <c r="E2685" s="86">
        <v>2209003</v>
      </c>
      <c r="F2685" s="87">
        <v>8907163</v>
      </c>
      <c r="G2685" s="87">
        <v>14812851</v>
      </c>
      <c r="H2685" s="88">
        <v>4697421</v>
      </c>
    </row>
    <row r="2686" spans="1:8" ht="24" customHeight="1" x14ac:dyDescent="0.15">
      <c r="A2686" s="250"/>
      <c r="B2686" s="23" t="s">
        <v>24</v>
      </c>
      <c r="C2686" s="22">
        <v>1733</v>
      </c>
      <c r="D2686" s="86">
        <v>50865600</v>
      </c>
      <c r="E2686" s="86">
        <v>5113980</v>
      </c>
      <c r="F2686" s="87">
        <v>10353008</v>
      </c>
      <c r="G2686" s="87">
        <v>31080462</v>
      </c>
      <c r="H2686" s="88">
        <v>4318149</v>
      </c>
    </row>
    <row r="2687" spans="1:8" ht="24" customHeight="1" x14ac:dyDescent="0.15">
      <c r="A2687" s="250"/>
      <c r="B2687" s="23" t="s">
        <v>23</v>
      </c>
      <c r="C2687" s="22">
        <v>348</v>
      </c>
      <c r="D2687" s="86">
        <v>4610250</v>
      </c>
      <c r="E2687" s="86">
        <v>323345</v>
      </c>
      <c r="F2687" s="87">
        <v>88487</v>
      </c>
      <c r="G2687" s="87">
        <v>4158663</v>
      </c>
      <c r="H2687" s="88">
        <v>39754</v>
      </c>
    </row>
    <row r="2688" spans="1:8" ht="24" customHeight="1" x14ac:dyDescent="0.15">
      <c r="A2688" s="250"/>
      <c r="B2688" s="23" t="s">
        <v>22</v>
      </c>
      <c r="C2688" s="22">
        <v>121</v>
      </c>
      <c r="D2688" s="86">
        <v>1108300</v>
      </c>
      <c r="E2688" s="86">
        <v>275050</v>
      </c>
      <c r="F2688" s="87">
        <v>84200</v>
      </c>
      <c r="G2688" s="87">
        <v>482080</v>
      </c>
      <c r="H2688" s="88">
        <v>266970</v>
      </c>
    </row>
    <row r="2689" spans="1:8" ht="24" customHeight="1" x14ac:dyDescent="0.15">
      <c r="A2689" s="250"/>
      <c r="B2689" s="23" t="s">
        <v>21</v>
      </c>
      <c r="C2689" s="22">
        <v>28</v>
      </c>
      <c r="D2689" s="86">
        <v>227421</v>
      </c>
      <c r="E2689" s="86">
        <v>122652</v>
      </c>
      <c r="F2689" s="87">
        <v>14710</v>
      </c>
      <c r="G2689" s="87">
        <v>49105</v>
      </c>
      <c r="H2689" s="88">
        <v>40954</v>
      </c>
    </row>
    <row r="2690" spans="1:8" ht="24" customHeight="1" x14ac:dyDescent="0.15">
      <c r="A2690" s="250"/>
      <c r="B2690" s="23" t="s">
        <v>20</v>
      </c>
      <c r="C2690" s="22">
        <v>0</v>
      </c>
      <c r="D2690" s="86">
        <v>0</v>
      </c>
      <c r="E2690" s="86">
        <v>0</v>
      </c>
      <c r="F2690" s="87">
        <v>0</v>
      </c>
      <c r="G2690" s="87">
        <v>0</v>
      </c>
      <c r="H2690" s="88">
        <v>0</v>
      </c>
    </row>
    <row r="2691" spans="1:8" ht="24" customHeight="1" x14ac:dyDescent="0.15">
      <c r="A2691" s="250"/>
      <c r="B2691" s="23" t="s">
        <v>1867</v>
      </c>
      <c r="C2691" s="22">
        <v>243</v>
      </c>
      <c r="D2691" s="86">
        <v>8114490</v>
      </c>
      <c r="E2691" s="86">
        <v>828650</v>
      </c>
      <c r="F2691" s="87">
        <v>2776800</v>
      </c>
      <c r="G2691" s="87">
        <v>3079550</v>
      </c>
      <c r="H2691" s="88">
        <v>1429490</v>
      </c>
    </row>
    <row r="2692" spans="1:8" ht="24" customHeight="1" x14ac:dyDescent="0.15">
      <c r="A2692" s="250"/>
      <c r="B2692" s="23" t="s">
        <v>18</v>
      </c>
      <c r="C2692" s="22">
        <v>3300</v>
      </c>
      <c r="D2692" s="86">
        <v>63815368</v>
      </c>
      <c r="E2692" s="86">
        <v>14751104</v>
      </c>
      <c r="F2692" s="87">
        <v>10139459</v>
      </c>
      <c r="G2692" s="87">
        <v>31696609</v>
      </c>
      <c r="H2692" s="88">
        <v>7228195</v>
      </c>
    </row>
    <row r="2693" spans="1:8" ht="24" customHeight="1" x14ac:dyDescent="0.15">
      <c r="A2693" s="250"/>
      <c r="B2693" s="23" t="s">
        <v>1868</v>
      </c>
      <c r="C2693" s="22">
        <v>625</v>
      </c>
      <c r="D2693" s="86">
        <v>14879460</v>
      </c>
      <c r="E2693" s="86">
        <v>2710972</v>
      </c>
      <c r="F2693" s="87">
        <v>2736639</v>
      </c>
      <c r="G2693" s="87">
        <v>8004393</v>
      </c>
      <c r="H2693" s="88">
        <v>1427455</v>
      </c>
    </row>
    <row r="2694" spans="1:8" ht="24" customHeight="1" x14ac:dyDescent="0.15">
      <c r="A2694" s="250"/>
      <c r="B2694" s="23" t="s">
        <v>16</v>
      </c>
      <c r="C2694" s="22">
        <v>53709</v>
      </c>
      <c r="D2694" s="86">
        <v>13123365</v>
      </c>
      <c r="E2694" s="86">
        <v>1143205</v>
      </c>
      <c r="F2694" s="87">
        <v>5305217</v>
      </c>
      <c r="G2694" s="87">
        <v>6305632</v>
      </c>
      <c r="H2694" s="88">
        <v>369310</v>
      </c>
    </row>
    <row r="2695" spans="1:8" ht="24" customHeight="1" x14ac:dyDescent="0.15">
      <c r="A2695" s="250"/>
      <c r="B2695" s="23" t="s">
        <v>15</v>
      </c>
      <c r="C2695" s="22">
        <v>510</v>
      </c>
      <c r="D2695" s="86">
        <v>1313602</v>
      </c>
      <c r="E2695" s="86">
        <v>112221</v>
      </c>
      <c r="F2695" s="87">
        <v>821488</v>
      </c>
      <c r="G2695" s="87">
        <v>379893</v>
      </c>
      <c r="H2695" s="88">
        <v>0</v>
      </c>
    </row>
    <row r="2696" spans="1:8" ht="24" customHeight="1" x14ac:dyDescent="0.15">
      <c r="A2696" s="250"/>
      <c r="B2696" s="23" t="s">
        <v>1869</v>
      </c>
      <c r="C2696" s="22">
        <v>46</v>
      </c>
      <c r="D2696" s="86">
        <v>232300</v>
      </c>
      <c r="E2696" s="86">
        <v>102214</v>
      </c>
      <c r="F2696" s="87">
        <v>17900</v>
      </c>
      <c r="G2696" s="87">
        <v>81885</v>
      </c>
      <c r="H2696" s="88">
        <v>30301</v>
      </c>
    </row>
    <row r="2697" spans="1:8" ht="24" customHeight="1" x14ac:dyDescent="0.15">
      <c r="A2697" s="250"/>
      <c r="B2697" s="23" t="s">
        <v>1870</v>
      </c>
      <c r="C2697" s="22">
        <v>476</v>
      </c>
      <c r="D2697" s="86">
        <v>2376861</v>
      </c>
      <c r="E2697" s="86">
        <v>213516</v>
      </c>
      <c r="F2697" s="87">
        <v>1145700</v>
      </c>
      <c r="G2697" s="87">
        <v>959824</v>
      </c>
      <c r="H2697" s="88">
        <v>57820</v>
      </c>
    </row>
    <row r="2698" spans="1:8" ht="24" customHeight="1" x14ac:dyDescent="0.15">
      <c r="A2698" s="250"/>
      <c r="B2698" s="23" t="s">
        <v>12</v>
      </c>
      <c r="C2698" s="22">
        <v>299</v>
      </c>
      <c r="D2698" s="86">
        <v>8898100</v>
      </c>
      <c r="E2698" s="86">
        <v>849470</v>
      </c>
      <c r="F2698" s="87">
        <v>1813400</v>
      </c>
      <c r="G2698" s="87">
        <v>5474300</v>
      </c>
      <c r="H2698" s="88">
        <v>760930</v>
      </c>
    </row>
    <row r="2699" spans="1:8" ht="24" customHeight="1" x14ac:dyDescent="0.15">
      <c r="A2699" s="250"/>
      <c r="B2699" s="23" t="s">
        <v>11</v>
      </c>
      <c r="C2699" s="22">
        <v>59</v>
      </c>
      <c r="D2699" s="86">
        <v>2040000</v>
      </c>
      <c r="E2699" s="86">
        <v>174300</v>
      </c>
      <c r="F2699" s="87">
        <v>678100</v>
      </c>
      <c r="G2699" s="87">
        <v>994000</v>
      </c>
      <c r="H2699" s="88">
        <v>193600</v>
      </c>
    </row>
    <row r="2700" spans="1:8" ht="24" customHeight="1" x14ac:dyDescent="0.15">
      <c r="A2700" s="250"/>
      <c r="B2700" s="23" t="s">
        <v>1871</v>
      </c>
      <c r="C2700" s="22">
        <v>0</v>
      </c>
      <c r="D2700" s="86">
        <v>0</v>
      </c>
      <c r="E2700" s="86">
        <v>0</v>
      </c>
      <c r="F2700" s="87">
        <v>0</v>
      </c>
      <c r="G2700" s="87">
        <v>0</v>
      </c>
      <c r="H2700" s="88">
        <v>0</v>
      </c>
    </row>
    <row r="2701" spans="1:8" ht="24" customHeight="1" x14ac:dyDescent="0.15">
      <c r="A2701" s="250"/>
      <c r="B2701" s="23" t="s">
        <v>9</v>
      </c>
      <c r="C2701" s="22">
        <v>3</v>
      </c>
      <c r="D2701" s="86">
        <v>10800</v>
      </c>
      <c r="E2701" s="86">
        <v>0</v>
      </c>
      <c r="F2701" s="87">
        <v>0</v>
      </c>
      <c r="G2701" s="87">
        <v>10800</v>
      </c>
      <c r="H2701" s="88">
        <v>0</v>
      </c>
    </row>
    <row r="2702" spans="1:8" ht="24" customHeight="1" x14ac:dyDescent="0.15">
      <c r="A2702" s="250"/>
      <c r="B2702" s="23" t="s">
        <v>1872</v>
      </c>
      <c r="C2702" s="22">
        <v>1</v>
      </c>
      <c r="D2702" s="86">
        <v>3000</v>
      </c>
      <c r="E2702" s="86">
        <v>100</v>
      </c>
      <c r="F2702" s="87">
        <v>0</v>
      </c>
      <c r="G2702" s="87">
        <v>2100</v>
      </c>
      <c r="H2702" s="88">
        <v>800</v>
      </c>
    </row>
    <row r="2703" spans="1:8" ht="24" customHeight="1" x14ac:dyDescent="0.15">
      <c r="A2703" s="251"/>
      <c r="B2703" s="23" t="s">
        <v>1873</v>
      </c>
      <c r="C2703" s="22">
        <v>22</v>
      </c>
      <c r="D2703" s="86">
        <v>16211</v>
      </c>
      <c r="E2703" s="86">
        <v>466</v>
      </c>
      <c r="F2703" s="87">
        <v>14000</v>
      </c>
      <c r="G2703" s="87">
        <v>1745</v>
      </c>
      <c r="H2703" s="88">
        <v>0</v>
      </c>
    </row>
    <row r="2704" spans="1:8" ht="24" customHeight="1" x14ac:dyDescent="0.15">
      <c r="A2704" s="18" t="s">
        <v>1874</v>
      </c>
      <c r="B2704" s="17" t="s">
        <v>5</v>
      </c>
      <c r="C2704" s="16">
        <v>3431</v>
      </c>
      <c r="D2704" s="80">
        <v>21143655</v>
      </c>
      <c r="E2704" s="80">
        <v>806700</v>
      </c>
      <c r="F2704" s="81">
        <v>9624814</v>
      </c>
      <c r="G2704" s="81">
        <v>7211829</v>
      </c>
      <c r="H2704" s="82">
        <v>3500312</v>
      </c>
    </row>
    <row r="2705" spans="1:8" ht="24" customHeight="1" x14ac:dyDescent="0.15">
      <c r="A2705" s="252" t="s">
        <v>1875</v>
      </c>
      <c r="B2705" s="12" t="s">
        <v>3</v>
      </c>
      <c r="C2705" s="11">
        <v>5935</v>
      </c>
      <c r="D2705" s="89">
        <v>73997225</v>
      </c>
      <c r="E2705" s="89">
        <v>44688710</v>
      </c>
      <c r="F2705" s="90">
        <v>12425707</v>
      </c>
      <c r="G2705" s="90">
        <v>10482169</v>
      </c>
      <c r="H2705" s="91">
        <v>6400637</v>
      </c>
    </row>
    <row r="2706" spans="1:8" ht="24" customHeight="1" thickBot="1" x14ac:dyDescent="0.2">
      <c r="A2706" s="253"/>
      <c r="B2706" s="7" t="s">
        <v>1876</v>
      </c>
      <c r="C2706" s="6">
        <v>6199</v>
      </c>
      <c r="D2706" s="92" t="s">
        <v>1</v>
      </c>
      <c r="E2706" s="92" t="s">
        <v>54</v>
      </c>
      <c r="F2706" s="92" t="s">
        <v>54</v>
      </c>
      <c r="G2706" s="92" t="s">
        <v>54</v>
      </c>
      <c r="H2706" s="93" t="s">
        <v>54</v>
      </c>
    </row>
    <row r="2707" spans="1:8" ht="24" customHeight="1" x14ac:dyDescent="0.15">
      <c r="A2707" s="3" t="s">
        <v>1155</v>
      </c>
      <c r="B2707" s="2"/>
      <c r="C2707" s="2"/>
      <c r="D2707" s="2"/>
      <c r="E2707" s="2"/>
      <c r="F2707" s="2"/>
      <c r="G2707" s="2"/>
      <c r="H2707" s="2"/>
    </row>
    <row r="2708" spans="1:8" ht="24" customHeight="1" x14ac:dyDescent="0.15">
      <c r="A2708" s="3" t="s">
        <v>2587</v>
      </c>
      <c r="B2708" s="2"/>
      <c r="C2708" s="2"/>
      <c r="D2708" s="2"/>
      <c r="E2708" s="2"/>
      <c r="F2708" s="2"/>
      <c r="G2708" s="2"/>
      <c r="H2708" s="2"/>
    </row>
    <row r="2709" spans="1:8" ht="24" customHeight="1" x14ac:dyDescent="0.15">
      <c r="A2709" s="3" t="s">
        <v>1877</v>
      </c>
      <c r="B2709" s="2"/>
      <c r="C2709" s="2"/>
      <c r="D2709" s="2"/>
      <c r="E2709" s="2"/>
      <c r="F2709" s="2"/>
      <c r="G2709" s="2"/>
      <c r="H2709" s="2"/>
    </row>
    <row r="2710" spans="1:8" ht="24" customHeight="1" x14ac:dyDescent="0.15">
      <c r="A2710" s="3" t="s">
        <v>1878</v>
      </c>
      <c r="B2710" s="2"/>
      <c r="C2710" s="2"/>
      <c r="D2710" s="2"/>
      <c r="E2710" s="2"/>
      <c r="F2710" s="2"/>
      <c r="G2710" s="2"/>
      <c r="H2710" s="2"/>
    </row>
    <row r="2711" spans="1:8" ht="24" customHeight="1" x14ac:dyDescent="0.15">
      <c r="A2711" s="230" t="s">
        <v>1814</v>
      </c>
      <c r="B2711" s="230"/>
      <c r="C2711" s="230"/>
      <c r="D2711" s="230"/>
      <c r="E2711" s="230"/>
      <c r="F2711" s="230"/>
      <c r="G2711" s="230"/>
      <c r="H2711" s="230"/>
    </row>
    <row r="2712" spans="1:8" ht="24" customHeight="1" x14ac:dyDescent="0.15">
      <c r="A2712" s="231"/>
      <c r="B2712" s="231"/>
      <c r="C2712" s="231"/>
      <c r="D2712" s="231"/>
      <c r="E2712" s="231"/>
      <c r="F2712" s="231"/>
      <c r="G2712" s="231"/>
      <c r="H2712" s="231"/>
    </row>
    <row r="2713" spans="1:8" ht="24" customHeight="1" thickBot="1" x14ac:dyDescent="0.2">
      <c r="A2713" s="58" t="s">
        <v>1815</v>
      </c>
    </row>
    <row r="2714" spans="1:8" ht="24" customHeight="1" x14ac:dyDescent="0.15">
      <c r="A2714" s="232" t="s">
        <v>1816</v>
      </c>
      <c r="B2714" s="235" t="s">
        <v>1817</v>
      </c>
      <c r="C2714" s="238" t="s">
        <v>1818</v>
      </c>
      <c r="D2714" s="241" t="s">
        <v>1819</v>
      </c>
      <c r="E2714" s="57"/>
      <c r="F2714" s="56"/>
      <c r="G2714" s="56"/>
      <c r="H2714" s="55"/>
    </row>
    <row r="2715" spans="1:8" ht="24" customHeight="1" x14ac:dyDescent="0.15">
      <c r="A2715" s="233"/>
      <c r="B2715" s="236"/>
      <c r="C2715" s="239"/>
      <c r="D2715" s="242"/>
      <c r="E2715" s="244" t="s">
        <v>1820</v>
      </c>
      <c r="F2715" s="246" t="s">
        <v>42</v>
      </c>
      <c r="G2715" s="246" t="s">
        <v>41</v>
      </c>
      <c r="H2715" s="248" t="s">
        <v>40</v>
      </c>
    </row>
    <row r="2716" spans="1:8" ht="21" customHeight="1" thickBot="1" x14ac:dyDescent="0.2">
      <c r="A2716" s="234"/>
      <c r="B2716" s="237"/>
      <c r="C2716" s="240"/>
      <c r="D2716" s="243"/>
      <c r="E2716" s="245"/>
      <c r="F2716" s="247"/>
      <c r="G2716" s="247"/>
      <c r="H2716" s="249"/>
    </row>
    <row r="2717" spans="1:8" ht="24" customHeight="1" thickTop="1" x14ac:dyDescent="0.15">
      <c r="A2717" s="54"/>
      <c r="B2717" s="53"/>
      <c r="C2717" s="52"/>
      <c r="D2717" s="51" t="s">
        <v>1821</v>
      </c>
      <c r="E2717" s="50" t="s">
        <v>1822</v>
      </c>
      <c r="F2717" s="49" t="s">
        <v>1822</v>
      </c>
      <c r="G2717" s="49" t="s">
        <v>1822</v>
      </c>
      <c r="H2717" s="48" t="s">
        <v>1821</v>
      </c>
    </row>
    <row r="2718" spans="1:8" ht="24" customHeight="1" x14ac:dyDescent="0.15">
      <c r="A2718" s="250" t="s">
        <v>1823</v>
      </c>
      <c r="B2718" s="61" t="s">
        <v>1824</v>
      </c>
      <c r="C2718" s="62">
        <v>3765</v>
      </c>
      <c r="D2718" s="63">
        <v>591569585</v>
      </c>
      <c r="E2718" s="63">
        <v>228682400</v>
      </c>
      <c r="F2718" s="64">
        <v>177475438</v>
      </c>
      <c r="G2718" s="64">
        <v>181923980</v>
      </c>
      <c r="H2718" s="65">
        <v>3487766</v>
      </c>
    </row>
    <row r="2719" spans="1:8" ht="24" customHeight="1" x14ac:dyDescent="0.15">
      <c r="A2719" s="250"/>
      <c r="B2719" s="66" t="s">
        <v>1825</v>
      </c>
      <c r="C2719" s="67">
        <v>31</v>
      </c>
      <c r="D2719" s="68">
        <v>298626</v>
      </c>
      <c r="E2719" s="68">
        <v>83779</v>
      </c>
      <c r="F2719" s="69">
        <v>188409</v>
      </c>
      <c r="G2719" s="69">
        <v>26436</v>
      </c>
      <c r="H2719" s="70">
        <v>0</v>
      </c>
    </row>
    <row r="2720" spans="1:8" ht="24" customHeight="1" x14ac:dyDescent="0.15">
      <c r="A2720" s="250"/>
      <c r="B2720" s="66" t="s">
        <v>1826</v>
      </c>
      <c r="C2720" s="67">
        <v>112</v>
      </c>
      <c r="D2720" s="68">
        <v>0</v>
      </c>
      <c r="E2720" s="68">
        <v>0</v>
      </c>
      <c r="F2720" s="69">
        <v>0</v>
      </c>
      <c r="G2720" s="69">
        <v>0</v>
      </c>
      <c r="H2720" s="70">
        <v>0</v>
      </c>
    </row>
    <row r="2721" spans="1:8" ht="24" customHeight="1" x14ac:dyDescent="0.15">
      <c r="A2721" s="250"/>
      <c r="B2721" s="71" t="s">
        <v>1827</v>
      </c>
      <c r="C2721" s="72">
        <v>1</v>
      </c>
      <c r="D2721" s="73">
        <v>169973</v>
      </c>
      <c r="E2721" s="73">
        <v>128813</v>
      </c>
      <c r="F2721" s="74">
        <v>8405</v>
      </c>
      <c r="G2721" s="74">
        <v>31044</v>
      </c>
      <c r="H2721" s="75">
        <v>1710</v>
      </c>
    </row>
    <row r="2722" spans="1:8" ht="24" customHeight="1" x14ac:dyDescent="0.15">
      <c r="A2722" s="250"/>
      <c r="B2722" s="66" t="s">
        <v>1828</v>
      </c>
      <c r="C2722" s="67">
        <v>66</v>
      </c>
      <c r="D2722" s="68">
        <v>13025129</v>
      </c>
      <c r="E2722" s="68">
        <v>3505277</v>
      </c>
      <c r="F2722" s="69">
        <v>3537817</v>
      </c>
      <c r="G2722" s="69">
        <v>5913566</v>
      </c>
      <c r="H2722" s="70">
        <v>68467</v>
      </c>
    </row>
    <row r="2723" spans="1:8" s="60" customFormat="1" ht="24" customHeight="1" x14ac:dyDescent="0.15">
      <c r="A2723" s="250"/>
      <c r="B2723" s="76" t="s">
        <v>1829</v>
      </c>
      <c r="C2723" s="67">
        <v>183</v>
      </c>
      <c r="D2723" s="68">
        <v>33600088</v>
      </c>
      <c r="E2723" s="68">
        <v>3744378</v>
      </c>
      <c r="F2723" s="69">
        <v>1270997</v>
      </c>
      <c r="G2723" s="69">
        <v>28508068</v>
      </c>
      <c r="H2723" s="70">
        <v>76643</v>
      </c>
    </row>
    <row r="2724" spans="1:8" ht="24" customHeight="1" x14ac:dyDescent="0.15">
      <c r="A2724" s="251"/>
      <c r="B2724" s="77" t="s">
        <v>1830</v>
      </c>
      <c r="C2724" s="72">
        <v>40</v>
      </c>
      <c r="D2724" s="73">
        <v>200181</v>
      </c>
      <c r="E2724" s="73">
        <v>172647</v>
      </c>
      <c r="F2724" s="74">
        <v>1936</v>
      </c>
      <c r="G2724" s="74">
        <v>25375</v>
      </c>
      <c r="H2724" s="75">
        <v>222</v>
      </c>
    </row>
    <row r="2725" spans="1:8" ht="24" customHeight="1" x14ac:dyDescent="0.15">
      <c r="A2725" s="30" t="s">
        <v>1831</v>
      </c>
      <c r="B2725" s="78" t="s">
        <v>1832</v>
      </c>
      <c r="C2725" s="79">
        <v>31</v>
      </c>
      <c r="D2725" s="80">
        <v>91495</v>
      </c>
      <c r="E2725" s="80">
        <v>89988</v>
      </c>
      <c r="F2725" s="81">
        <v>654</v>
      </c>
      <c r="G2725" s="81">
        <v>574</v>
      </c>
      <c r="H2725" s="82">
        <v>278</v>
      </c>
    </row>
    <row r="2726" spans="1:8" ht="24" customHeight="1" x14ac:dyDescent="0.15">
      <c r="A2726" s="252" t="s">
        <v>1833</v>
      </c>
      <c r="B2726" s="17" t="s">
        <v>1834</v>
      </c>
      <c r="C2726" s="16">
        <v>3165</v>
      </c>
      <c r="D2726" s="83">
        <v>61598702</v>
      </c>
      <c r="E2726" s="83">
        <v>9766184</v>
      </c>
      <c r="F2726" s="84">
        <v>11793195</v>
      </c>
      <c r="G2726" s="84">
        <v>32050519</v>
      </c>
      <c r="H2726" s="85">
        <v>7988803</v>
      </c>
    </row>
    <row r="2727" spans="1:8" ht="24" customHeight="1" x14ac:dyDescent="0.15">
      <c r="A2727" s="250"/>
      <c r="B2727" s="23" t="s">
        <v>1835</v>
      </c>
      <c r="C2727" s="22">
        <v>3181</v>
      </c>
      <c r="D2727" s="86">
        <v>14516081</v>
      </c>
      <c r="E2727" s="86">
        <v>679233</v>
      </c>
      <c r="F2727" s="87">
        <v>4154284</v>
      </c>
      <c r="G2727" s="87">
        <v>7895998</v>
      </c>
      <c r="H2727" s="88">
        <v>1786565</v>
      </c>
    </row>
    <row r="2728" spans="1:8" ht="24" customHeight="1" x14ac:dyDescent="0.15">
      <c r="A2728" s="250"/>
      <c r="B2728" s="24" t="s">
        <v>1836</v>
      </c>
      <c r="C2728" s="22">
        <v>632</v>
      </c>
      <c r="D2728" s="86">
        <v>30901440</v>
      </c>
      <c r="E2728" s="86">
        <v>2209094</v>
      </c>
      <c r="F2728" s="87">
        <v>8969604</v>
      </c>
      <c r="G2728" s="87">
        <v>14987387</v>
      </c>
      <c r="H2728" s="88">
        <v>4735353</v>
      </c>
    </row>
    <row r="2729" spans="1:8" ht="24" customHeight="1" x14ac:dyDescent="0.15">
      <c r="A2729" s="250"/>
      <c r="B2729" s="23" t="s">
        <v>1837</v>
      </c>
      <c r="C2729" s="22">
        <v>1725</v>
      </c>
      <c r="D2729" s="86">
        <v>50581100</v>
      </c>
      <c r="E2729" s="86">
        <v>5328240</v>
      </c>
      <c r="F2729" s="87">
        <v>10029088</v>
      </c>
      <c r="G2729" s="87">
        <v>30943122</v>
      </c>
      <c r="H2729" s="88">
        <v>4280649</v>
      </c>
    </row>
    <row r="2730" spans="1:8" ht="24" customHeight="1" x14ac:dyDescent="0.15">
      <c r="A2730" s="250"/>
      <c r="B2730" s="23" t="s">
        <v>23</v>
      </c>
      <c r="C2730" s="22">
        <v>343</v>
      </c>
      <c r="D2730" s="86">
        <v>4558750</v>
      </c>
      <c r="E2730" s="86">
        <v>318371</v>
      </c>
      <c r="F2730" s="87">
        <v>88535</v>
      </c>
      <c r="G2730" s="87">
        <v>4112088</v>
      </c>
      <c r="H2730" s="88">
        <v>39754</v>
      </c>
    </row>
    <row r="2731" spans="1:8" ht="24" customHeight="1" x14ac:dyDescent="0.15">
      <c r="A2731" s="250"/>
      <c r="B2731" s="23" t="s">
        <v>22</v>
      </c>
      <c r="C2731" s="22">
        <v>121</v>
      </c>
      <c r="D2731" s="86">
        <v>1108300</v>
      </c>
      <c r="E2731" s="86">
        <v>276950</v>
      </c>
      <c r="F2731" s="87">
        <v>83900</v>
      </c>
      <c r="G2731" s="87">
        <v>481980</v>
      </c>
      <c r="H2731" s="88">
        <v>265470</v>
      </c>
    </row>
    <row r="2732" spans="1:8" ht="24" customHeight="1" x14ac:dyDescent="0.15">
      <c r="A2732" s="250"/>
      <c r="B2732" s="23" t="s">
        <v>1838</v>
      </c>
      <c r="C2732" s="22">
        <v>28</v>
      </c>
      <c r="D2732" s="86">
        <v>227421</v>
      </c>
      <c r="E2732" s="86">
        <v>122652</v>
      </c>
      <c r="F2732" s="87">
        <v>14710</v>
      </c>
      <c r="G2732" s="87">
        <v>49105</v>
      </c>
      <c r="H2732" s="88">
        <v>40954</v>
      </c>
    </row>
    <row r="2733" spans="1:8" ht="24" customHeight="1" x14ac:dyDescent="0.15">
      <c r="A2733" s="250"/>
      <c r="B2733" s="23" t="s">
        <v>20</v>
      </c>
      <c r="C2733" s="22">
        <v>0</v>
      </c>
      <c r="D2733" s="86">
        <v>0</v>
      </c>
      <c r="E2733" s="86">
        <v>0</v>
      </c>
      <c r="F2733" s="87">
        <v>0</v>
      </c>
      <c r="G2733" s="87">
        <v>0</v>
      </c>
      <c r="H2733" s="88">
        <v>0</v>
      </c>
    </row>
    <row r="2734" spans="1:8" ht="24" customHeight="1" x14ac:dyDescent="0.15">
      <c r="A2734" s="250"/>
      <c r="B2734" s="23" t="s">
        <v>1839</v>
      </c>
      <c r="C2734" s="22">
        <v>243</v>
      </c>
      <c r="D2734" s="86">
        <v>8194330</v>
      </c>
      <c r="E2734" s="86">
        <v>829600</v>
      </c>
      <c r="F2734" s="87">
        <v>2773200</v>
      </c>
      <c r="G2734" s="87">
        <v>3119080</v>
      </c>
      <c r="H2734" s="88">
        <v>1472450</v>
      </c>
    </row>
    <row r="2735" spans="1:8" ht="24" customHeight="1" x14ac:dyDescent="0.15">
      <c r="A2735" s="250"/>
      <c r="B2735" s="23" t="s">
        <v>18</v>
      </c>
      <c r="C2735" s="22">
        <v>3286</v>
      </c>
      <c r="D2735" s="86">
        <v>63572476</v>
      </c>
      <c r="E2735" s="86">
        <v>14736949</v>
      </c>
      <c r="F2735" s="87">
        <v>10078942</v>
      </c>
      <c r="G2735" s="87">
        <v>31631200</v>
      </c>
      <c r="H2735" s="88">
        <v>7125384</v>
      </c>
    </row>
    <row r="2736" spans="1:8" ht="24" customHeight="1" x14ac:dyDescent="0.15">
      <c r="A2736" s="250"/>
      <c r="B2736" s="23" t="s">
        <v>1840</v>
      </c>
      <c r="C2736" s="22">
        <v>616</v>
      </c>
      <c r="D2736" s="86">
        <v>14837460</v>
      </c>
      <c r="E2736" s="86">
        <v>2697283</v>
      </c>
      <c r="F2736" s="87">
        <v>2738007</v>
      </c>
      <c r="G2736" s="87">
        <v>8008715</v>
      </c>
      <c r="H2736" s="88">
        <v>1393454</v>
      </c>
    </row>
    <row r="2737" spans="1:8" ht="24" customHeight="1" x14ac:dyDescent="0.15">
      <c r="A2737" s="250"/>
      <c r="B2737" s="23" t="s">
        <v>16</v>
      </c>
      <c r="C2737" s="22">
        <v>53422</v>
      </c>
      <c r="D2737" s="86">
        <v>13180868</v>
      </c>
      <c r="E2737" s="86">
        <v>1145805</v>
      </c>
      <c r="F2737" s="87">
        <v>5346519</v>
      </c>
      <c r="G2737" s="87">
        <v>6321303</v>
      </c>
      <c r="H2737" s="88">
        <v>367240</v>
      </c>
    </row>
    <row r="2738" spans="1:8" ht="24" customHeight="1" x14ac:dyDescent="0.15">
      <c r="A2738" s="250"/>
      <c r="B2738" s="23" t="s">
        <v>15</v>
      </c>
      <c r="C2738" s="22">
        <v>533</v>
      </c>
      <c r="D2738" s="86">
        <v>1382998</v>
      </c>
      <c r="E2738" s="86">
        <v>112221</v>
      </c>
      <c r="F2738" s="87">
        <v>861383</v>
      </c>
      <c r="G2738" s="87">
        <v>409394</v>
      </c>
      <c r="H2738" s="88">
        <v>0</v>
      </c>
    </row>
    <row r="2739" spans="1:8" ht="24" customHeight="1" x14ac:dyDescent="0.15">
      <c r="A2739" s="250"/>
      <c r="B2739" s="23" t="s">
        <v>14</v>
      </c>
      <c r="C2739" s="22">
        <v>46</v>
      </c>
      <c r="D2739" s="86">
        <v>232300</v>
      </c>
      <c r="E2739" s="86">
        <v>102316</v>
      </c>
      <c r="F2739" s="87">
        <v>18100</v>
      </c>
      <c r="G2739" s="87">
        <v>81783</v>
      </c>
      <c r="H2739" s="88">
        <v>30101</v>
      </c>
    </row>
    <row r="2740" spans="1:8" ht="24" customHeight="1" x14ac:dyDescent="0.15">
      <c r="A2740" s="250"/>
      <c r="B2740" s="23" t="s">
        <v>13</v>
      </c>
      <c r="C2740" s="22">
        <v>477</v>
      </c>
      <c r="D2740" s="86">
        <v>2382098</v>
      </c>
      <c r="E2740" s="86">
        <v>214936</v>
      </c>
      <c r="F2740" s="87">
        <v>1147334</v>
      </c>
      <c r="G2740" s="87">
        <v>962008</v>
      </c>
      <c r="H2740" s="88">
        <v>57820</v>
      </c>
    </row>
    <row r="2741" spans="1:8" ht="24" customHeight="1" x14ac:dyDescent="0.15">
      <c r="A2741" s="250"/>
      <c r="B2741" s="23" t="s">
        <v>12</v>
      </c>
      <c r="C2741" s="22">
        <v>295</v>
      </c>
      <c r="D2741" s="86">
        <v>8740800</v>
      </c>
      <c r="E2741" s="86">
        <v>858570</v>
      </c>
      <c r="F2741" s="87">
        <v>1698300</v>
      </c>
      <c r="G2741" s="87">
        <v>5480800</v>
      </c>
      <c r="H2741" s="88">
        <v>703130</v>
      </c>
    </row>
    <row r="2742" spans="1:8" ht="24" customHeight="1" x14ac:dyDescent="0.15">
      <c r="A2742" s="250"/>
      <c r="B2742" s="23" t="s">
        <v>1841</v>
      </c>
      <c r="C2742" s="22">
        <v>54</v>
      </c>
      <c r="D2742" s="86">
        <v>2020000</v>
      </c>
      <c r="E2742" s="86">
        <v>204700</v>
      </c>
      <c r="F2742" s="87">
        <v>657000</v>
      </c>
      <c r="G2742" s="87">
        <v>964700</v>
      </c>
      <c r="H2742" s="88">
        <v>193600</v>
      </c>
    </row>
    <row r="2743" spans="1:8" ht="24" customHeight="1" x14ac:dyDescent="0.15">
      <c r="A2743" s="250"/>
      <c r="B2743" s="23" t="s">
        <v>1842</v>
      </c>
      <c r="C2743" s="22">
        <v>0</v>
      </c>
      <c r="D2743" s="86">
        <v>0</v>
      </c>
      <c r="E2743" s="86">
        <v>0</v>
      </c>
      <c r="F2743" s="87">
        <v>0</v>
      </c>
      <c r="G2743" s="87">
        <v>0</v>
      </c>
      <c r="H2743" s="88">
        <v>0</v>
      </c>
    </row>
    <row r="2744" spans="1:8" ht="24" customHeight="1" x14ac:dyDescent="0.15">
      <c r="A2744" s="250"/>
      <c r="B2744" s="23" t="s">
        <v>9</v>
      </c>
      <c r="C2744" s="22">
        <v>3</v>
      </c>
      <c r="D2744" s="86">
        <v>10800</v>
      </c>
      <c r="E2744" s="86">
        <v>0</v>
      </c>
      <c r="F2744" s="87">
        <v>0</v>
      </c>
      <c r="G2744" s="87">
        <v>10800</v>
      </c>
      <c r="H2744" s="88">
        <v>0</v>
      </c>
    </row>
    <row r="2745" spans="1:8" ht="24" customHeight="1" x14ac:dyDescent="0.15">
      <c r="A2745" s="250"/>
      <c r="B2745" s="23" t="s">
        <v>8</v>
      </c>
      <c r="C2745" s="22">
        <v>1</v>
      </c>
      <c r="D2745" s="86">
        <v>3000</v>
      </c>
      <c r="E2745" s="86">
        <v>100</v>
      </c>
      <c r="F2745" s="87">
        <v>0</v>
      </c>
      <c r="G2745" s="87">
        <v>2100</v>
      </c>
      <c r="H2745" s="88">
        <v>800</v>
      </c>
    </row>
    <row r="2746" spans="1:8" ht="24" customHeight="1" x14ac:dyDescent="0.15">
      <c r="A2746" s="251"/>
      <c r="B2746" s="23" t="s">
        <v>1843</v>
      </c>
      <c r="C2746" s="22">
        <v>21</v>
      </c>
      <c r="D2746" s="86">
        <v>16181</v>
      </c>
      <c r="E2746" s="86">
        <v>466</v>
      </c>
      <c r="F2746" s="87">
        <v>14000</v>
      </c>
      <c r="G2746" s="87">
        <v>1715</v>
      </c>
      <c r="H2746" s="88">
        <v>0</v>
      </c>
    </row>
    <row r="2747" spans="1:8" ht="24" customHeight="1" x14ac:dyDescent="0.15">
      <c r="A2747" s="18" t="s">
        <v>1844</v>
      </c>
      <c r="B2747" s="17" t="s">
        <v>1845</v>
      </c>
      <c r="C2747" s="16">
        <v>3432</v>
      </c>
      <c r="D2747" s="80">
        <v>18804847</v>
      </c>
      <c r="E2747" s="80">
        <v>786600</v>
      </c>
      <c r="F2747" s="81">
        <v>8412866</v>
      </c>
      <c r="G2747" s="81">
        <v>6259542</v>
      </c>
      <c r="H2747" s="82">
        <v>3345839</v>
      </c>
    </row>
    <row r="2748" spans="1:8" ht="24" customHeight="1" x14ac:dyDescent="0.15">
      <c r="A2748" s="252" t="s">
        <v>4</v>
      </c>
      <c r="B2748" s="12" t="s">
        <v>3</v>
      </c>
      <c r="C2748" s="11">
        <v>5937</v>
      </c>
      <c r="D2748" s="89">
        <v>71732980</v>
      </c>
      <c r="E2748" s="89">
        <v>43476435</v>
      </c>
      <c r="F2748" s="90">
        <v>11965679</v>
      </c>
      <c r="G2748" s="90">
        <v>10136717</v>
      </c>
      <c r="H2748" s="91">
        <v>6154147</v>
      </c>
    </row>
    <row r="2749" spans="1:8" ht="24" customHeight="1" thickBot="1" x14ac:dyDescent="0.2">
      <c r="A2749" s="253"/>
      <c r="B2749" s="7" t="s">
        <v>1153</v>
      </c>
      <c r="C2749" s="6">
        <v>6147</v>
      </c>
      <c r="D2749" s="92" t="s">
        <v>1</v>
      </c>
      <c r="E2749" s="92" t="s">
        <v>54</v>
      </c>
      <c r="F2749" s="92" t="s">
        <v>54</v>
      </c>
      <c r="G2749" s="92" t="s">
        <v>54</v>
      </c>
      <c r="H2749" s="93" t="s">
        <v>54</v>
      </c>
    </row>
    <row r="2750" spans="1:8" ht="24" customHeight="1" x14ac:dyDescent="0.15">
      <c r="A2750" s="3" t="s">
        <v>1846</v>
      </c>
      <c r="B2750" s="2"/>
      <c r="C2750" s="2"/>
      <c r="D2750" s="2"/>
      <c r="E2750" s="2"/>
      <c r="F2750" s="2"/>
      <c r="G2750" s="2"/>
      <c r="H2750" s="2"/>
    </row>
    <row r="2751" spans="1:8" ht="24" customHeight="1" x14ac:dyDescent="0.15">
      <c r="A2751" s="3" t="s">
        <v>2587</v>
      </c>
      <c r="B2751" s="2"/>
      <c r="C2751" s="2"/>
      <c r="D2751" s="2"/>
      <c r="E2751" s="2"/>
      <c r="F2751" s="2"/>
      <c r="G2751" s="2"/>
      <c r="H2751" s="2"/>
    </row>
    <row r="2752" spans="1:8" ht="24" customHeight="1" x14ac:dyDescent="0.15">
      <c r="A2752" s="3" t="s">
        <v>1156</v>
      </c>
      <c r="B2752" s="2"/>
      <c r="C2752" s="2"/>
      <c r="D2752" s="2"/>
      <c r="E2752" s="2"/>
      <c r="F2752" s="2"/>
      <c r="G2752" s="2"/>
      <c r="H2752" s="2"/>
    </row>
    <row r="2753" spans="1:8" ht="24" customHeight="1" x14ac:dyDescent="0.15">
      <c r="A2753" s="3" t="s">
        <v>1847</v>
      </c>
      <c r="B2753" s="2"/>
      <c r="C2753" s="2"/>
      <c r="D2753" s="2"/>
      <c r="E2753" s="2"/>
      <c r="F2753" s="2"/>
      <c r="G2753" s="2"/>
      <c r="H2753" s="2"/>
    </row>
    <row r="2754" spans="1:8" ht="24" customHeight="1" x14ac:dyDescent="0.15">
      <c r="A2754" s="230" t="s">
        <v>1789</v>
      </c>
      <c r="B2754" s="230"/>
      <c r="C2754" s="230"/>
      <c r="D2754" s="230"/>
      <c r="E2754" s="230"/>
      <c r="F2754" s="230"/>
      <c r="G2754" s="230"/>
      <c r="H2754" s="230"/>
    </row>
    <row r="2755" spans="1:8" ht="24" customHeight="1" x14ac:dyDescent="0.15">
      <c r="A2755" s="231"/>
      <c r="B2755" s="231"/>
      <c r="C2755" s="231"/>
      <c r="D2755" s="231"/>
      <c r="E2755" s="231"/>
      <c r="F2755" s="231"/>
      <c r="G2755" s="231"/>
      <c r="H2755" s="231"/>
    </row>
    <row r="2756" spans="1:8" ht="22.5" customHeight="1" thickBot="1" x14ac:dyDescent="0.2">
      <c r="A2756" s="58" t="s">
        <v>1790</v>
      </c>
    </row>
    <row r="2757" spans="1:8" ht="24" customHeight="1" x14ac:dyDescent="0.15">
      <c r="A2757" s="232" t="s">
        <v>1791</v>
      </c>
      <c r="B2757" s="235" t="s">
        <v>1792</v>
      </c>
      <c r="C2757" s="238" t="s">
        <v>1793</v>
      </c>
      <c r="D2757" s="241" t="s">
        <v>1794</v>
      </c>
      <c r="E2757" s="57"/>
      <c r="F2757" s="56"/>
      <c r="G2757" s="56"/>
      <c r="H2757" s="55"/>
    </row>
    <row r="2758" spans="1:8" ht="24" customHeight="1" x14ac:dyDescent="0.15">
      <c r="A2758" s="233"/>
      <c r="B2758" s="236"/>
      <c r="C2758" s="239"/>
      <c r="D2758" s="242"/>
      <c r="E2758" s="244" t="s">
        <v>1795</v>
      </c>
      <c r="F2758" s="246" t="s">
        <v>1796</v>
      </c>
      <c r="G2758" s="246" t="s">
        <v>41</v>
      </c>
      <c r="H2758" s="248" t="s">
        <v>1797</v>
      </c>
    </row>
    <row r="2759" spans="1:8" ht="24" customHeight="1" thickBot="1" x14ac:dyDescent="0.2">
      <c r="A2759" s="234"/>
      <c r="B2759" s="237"/>
      <c r="C2759" s="240"/>
      <c r="D2759" s="243"/>
      <c r="E2759" s="245"/>
      <c r="F2759" s="247"/>
      <c r="G2759" s="247"/>
      <c r="H2759" s="249"/>
    </row>
    <row r="2760" spans="1:8" ht="24" customHeight="1" thickTop="1" x14ac:dyDescent="0.15">
      <c r="A2760" s="54"/>
      <c r="B2760" s="53"/>
      <c r="C2760" s="52"/>
      <c r="D2760" s="51" t="s">
        <v>39</v>
      </c>
      <c r="E2760" s="50" t="s">
        <v>39</v>
      </c>
      <c r="F2760" s="49" t="s">
        <v>1798</v>
      </c>
      <c r="G2760" s="49" t="s">
        <v>1798</v>
      </c>
      <c r="H2760" s="48" t="s">
        <v>1798</v>
      </c>
    </row>
    <row r="2761" spans="1:8" ht="24" customHeight="1" x14ac:dyDescent="0.15">
      <c r="A2761" s="250" t="s">
        <v>38</v>
      </c>
      <c r="B2761" s="61" t="s">
        <v>1799</v>
      </c>
      <c r="C2761" s="62">
        <v>3748</v>
      </c>
      <c r="D2761" s="63">
        <v>653819305</v>
      </c>
      <c r="E2761" s="63">
        <v>248317388</v>
      </c>
      <c r="F2761" s="64">
        <v>199083199</v>
      </c>
      <c r="G2761" s="64">
        <v>202546400</v>
      </c>
      <c r="H2761" s="65">
        <v>3872317</v>
      </c>
    </row>
    <row r="2762" spans="1:8" ht="24" customHeight="1" x14ac:dyDescent="0.15">
      <c r="A2762" s="250"/>
      <c r="B2762" s="66" t="s">
        <v>36</v>
      </c>
      <c r="C2762" s="67">
        <v>32</v>
      </c>
      <c r="D2762" s="68">
        <v>308014</v>
      </c>
      <c r="E2762" s="68">
        <v>84692</v>
      </c>
      <c r="F2762" s="69">
        <v>197474</v>
      </c>
      <c r="G2762" s="69">
        <v>25847</v>
      </c>
      <c r="H2762" s="70">
        <v>0</v>
      </c>
    </row>
    <row r="2763" spans="1:8" ht="24" customHeight="1" x14ac:dyDescent="0.15">
      <c r="A2763" s="250"/>
      <c r="B2763" s="66" t="s">
        <v>1800</v>
      </c>
      <c r="C2763" s="67">
        <v>109</v>
      </c>
      <c r="D2763" s="68">
        <v>0</v>
      </c>
      <c r="E2763" s="68">
        <v>0</v>
      </c>
      <c r="F2763" s="69">
        <v>0</v>
      </c>
      <c r="G2763" s="69">
        <v>0</v>
      </c>
      <c r="H2763" s="70">
        <v>0</v>
      </c>
    </row>
    <row r="2764" spans="1:8" ht="24" customHeight="1" x14ac:dyDescent="0.15">
      <c r="A2764" s="250"/>
      <c r="B2764" s="71" t="s">
        <v>1801</v>
      </c>
      <c r="C2764" s="72">
        <v>1</v>
      </c>
      <c r="D2764" s="73">
        <v>169831</v>
      </c>
      <c r="E2764" s="73">
        <v>128673</v>
      </c>
      <c r="F2764" s="74">
        <v>8430</v>
      </c>
      <c r="G2764" s="74">
        <v>31018</v>
      </c>
      <c r="H2764" s="75">
        <v>1708</v>
      </c>
    </row>
    <row r="2765" spans="1:8" ht="24" customHeight="1" x14ac:dyDescent="0.15">
      <c r="A2765" s="250"/>
      <c r="B2765" s="66" t="s">
        <v>33</v>
      </c>
      <c r="C2765" s="67">
        <v>66</v>
      </c>
      <c r="D2765" s="68">
        <v>13302494</v>
      </c>
      <c r="E2765" s="68">
        <v>3565194</v>
      </c>
      <c r="F2765" s="69">
        <v>3557669</v>
      </c>
      <c r="G2765" s="69">
        <v>6094471</v>
      </c>
      <c r="H2765" s="70">
        <v>85158</v>
      </c>
    </row>
    <row r="2766" spans="1:8" ht="24" customHeight="1" x14ac:dyDescent="0.15">
      <c r="A2766" s="250"/>
      <c r="B2766" s="76" t="s">
        <v>1802</v>
      </c>
      <c r="C2766" s="67">
        <v>184</v>
      </c>
      <c r="D2766" s="68">
        <v>36241923</v>
      </c>
      <c r="E2766" s="68">
        <v>3868885</v>
      </c>
      <c r="F2766" s="69">
        <v>1363656</v>
      </c>
      <c r="G2766" s="69">
        <v>30978142</v>
      </c>
      <c r="H2766" s="70">
        <v>31239</v>
      </c>
    </row>
    <row r="2767" spans="1:8" ht="24" customHeight="1" x14ac:dyDescent="0.15">
      <c r="A2767" s="251"/>
      <c r="B2767" s="77" t="s">
        <v>31</v>
      </c>
      <c r="C2767" s="72">
        <v>40</v>
      </c>
      <c r="D2767" s="73">
        <v>215581</v>
      </c>
      <c r="E2767" s="73">
        <v>187733</v>
      </c>
      <c r="F2767" s="74">
        <v>1927</v>
      </c>
      <c r="G2767" s="74">
        <v>25558</v>
      </c>
      <c r="H2767" s="75">
        <v>361</v>
      </c>
    </row>
    <row r="2768" spans="1:8" ht="24" customHeight="1" x14ac:dyDescent="0.15">
      <c r="A2768" s="30" t="s">
        <v>30</v>
      </c>
      <c r="B2768" s="78" t="s">
        <v>29</v>
      </c>
      <c r="C2768" s="79">
        <v>31</v>
      </c>
      <c r="D2768" s="80">
        <v>102887</v>
      </c>
      <c r="E2768" s="80">
        <v>100872</v>
      </c>
      <c r="F2768" s="81">
        <v>843</v>
      </c>
      <c r="G2768" s="81">
        <v>743</v>
      </c>
      <c r="H2768" s="82">
        <v>428</v>
      </c>
    </row>
    <row r="2769" spans="1:8" ht="24" customHeight="1" x14ac:dyDescent="0.15">
      <c r="A2769" s="252" t="s">
        <v>1803</v>
      </c>
      <c r="B2769" s="17" t="s">
        <v>27</v>
      </c>
      <c r="C2769" s="16">
        <v>3178</v>
      </c>
      <c r="D2769" s="83">
        <v>61812946</v>
      </c>
      <c r="E2769" s="83">
        <v>9859470</v>
      </c>
      <c r="F2769" s="84">
        <v>11368872</v>
      </c>
      <c r="G2769" s="84">
        <v>32591102</v>
      </c>
      <c r="H2769" s="85">
        <v>7993501</v>
      </c>
    </row>
    <row r="2770" spans="1:8" ht="24" customHeight="1" x14ac:dyDescent="0.15">
      <c r="A2770" s="250"/>
      <c r="B2770" s="23" t="s">
        <v>26</v>
      </c>
      <c r="C2770" s="22">
        <v>3163</v>
      </c>
      <c r="D2770" s="86">
        <v>14457980</v>
      </c>
      <c r="E2770" s="86">
        <v>670846</v>
      </c>
      <c r="F2770" s="87">
        <v>3990527</v>
      </c>
      <c r="G2770" s="87">
        <v>7999760</v>
      </c>
      <c r="H2770" s="88">
        <v>1796845</v>
      </c>
    </row>
    <row r="2771" spans="1:8" ht="24" customHeight="1" x14ac:dyDescent="0.15">
      <c r="A2771" s="250"/>
      <c r="B2771" s="24" t="s">
        <v>25</v>
      </c>
      <c r="C2771" s="22">
        <v>630</v>
      </c>
      <c r="D2771" s="86">
        <v>31079440</v>
      </c>
      <c r="E2771" s="86">
        <v>2168990</v>
      </c>
      <c r="F2771" s="87">
        <v>8898709</v>
      </c>
      <c r="G2771" s="87">
        <v>15249137</v>
      </c>
      <c r="H2771" s="88">
        <v>4762602</v>
      </c>
    </row>
    <row r="2772" spans="1:8" ht="24" customHeight="1" x14ac:dyDescent="0.15">
      <c r="A2772" s="250"/>
      <c r="B2772" s="23" t="s">
        <v>24</v>
      </c>
      <c r="C2772" s="22">
        <v>1731</v>
      </c>
      <c r="D2772" s="86">
        <v>50550400</v>
      </c>
      <c r="E2772" s="86">
        <v>5104805</v>
      </c>
      <c r="F2772" s="87">
        <v>9809957</v>
      </c>
      <c r="G2772" s="87">
        <v>31306065</v>
      </c>
      <c r="H2772" s="88">
        <v>4329571</v>
      </c>
    </row>
    <row r="2773" spans="1:8" ht="24" customHeight="1" x14ac:dyDescent="0.15">
      <c r="A2773" s="250"/>
      <c r="B2773" s="23" t="s">
        <v>23</v>
      </c>
      <c r="C2773" s="22">
        <v>338</v>
      </c>
      <c r="D2773" s="86">
        <v>4538825</v>
      </c>
      <c r="E2773" s="86">
        <v>319799</v>
      </c>
      <c r="F2773" s="87">
        <v>95851</v>
      </c>
      <c r="G2773" s="87">
        <v>4081187</v>
      </c>
      <c r="H2773" s="88">
        <v>41986</v>
      </c>
    </row>
    <row r="2774" spans="1:8" ht="24" customHeight="1" x14ac:dyDescent="0.15">
      <c r="A2774" s="250"/>
      <c r="B2774" s="23" t="s">
        <v>22</v>
      </c>
      <c r="C2774" s="22">
        <v>124</v>
      </c>
      <c r="D2774" s="86">
        <v>1137600</v>
      </c>
      <c r="E2774" s="86">
        <v>276000</v>
      </c>
      <c r="F2774" s="87">
        <v>89400</v>
      </c>
      <c r="G2774" s="87">
        <v>490080</v>
      </c>
      <c r="H2774" s="88">
        <v>282120</v>
      </c>
    </row>
    <row r="2775" spans="1:8" ht="24" customHeight="1" x14ac:dyDescent="0.15">
      <c r="A2775" s="250"/>
      <c r="B2775" s="23" t="s">
        <v>21</v>
      </c>
      <c r="C2775" s="22">
        <v>28</v>
      </c>
      <c r="D2775" s="86">
        <v>227421</v>
      </c>
      <c r="E2775" s="86">
        <v>122652</v>
      </c>
      <c r="F2775" s="87">
        <v>14710</v>
      </c>
      <c r="G2775" s="87">
        <v>49105</v>
      </c>
      <c r="H2775" s="88">
        <v>40954</v>
      </c>
    </row>
    <row r="2776" spans="1:8" ht="24" customHeight="1" x14ac:dyDescent="0.15">
      <c r="A2776" s="250"/>
      <c r="B2776" s="23" t="s">
        <v>20</v>
      </c>
      <c r="C2776" s="22">
        <v>0</v>
      </c>
      <c r="D2776" s="86">
        <v>0</v>
      </c>
      <c r="E2776" s="86">
        <v>0</v>
      </c>
      <c r="F2776" s="87">
        <v>0</v>
      </c>
      <c r="G2776" s="87">
        <v>0</v>
      </c>
      <c r="H2776" s="88">
        <v>0</v>
      </c>
    </row>
    <row r="2777" spans="1:8" ht="24" customHeight="1" x14ac:dyDescent="0.15">
      <c r="A2777" s="250"/>
      <c r="B2777" s="23" t="s">
        <v>1804</v>
      </c>
      <c r="C2777" s="22">
        <v>243</v>
      </c>
      <c r="D2777" s="86">
        <v>8279700</v>
      </c>
      <c r="E2777" s="86">
        <v>846870</v>
      </c>
      <c r="F2777" s="87">
        <v>2759350</v>
      </c>
      <c r="G2777" s="87">
        <v>3152960</v>
      </c>
      <c r="H2777" s="88">
        <v>1520520</v>
      </c>
    </row>
    <row r="2778" spans="1:8" ht="24" customHeight="1" x14ac:dyDescent="0.15">
      <c r="A2778" s="250"/>
      <c r="B2778" s="23" t="s">
        <v>18</v>
      </c>
      <c r="C2778" s="22">
        <v>3258</v>
      </c>
      <c r="D2778" s="86">
        <v>63148261</v>
      </c>
      <c r="E2778" s="86">
        <v>14545038</v>
      </c>
      <c r="F2778" s="87">
        <v>10025157</v>
      </c>
      <c r="G2778" s="87">
        <v>31530029</v>
      </c>
      <c r="H2778" s="88">
        <v>7048035</v>
      </c>
    </row>
    <row r="2779" spans="1:8" ht="24" customHeight="1" x14ac:dyDescent="0.15">
      <c r="A2779" s="250"/>
      <c r="B2779" s="23" t="s">
        <v>17</v>
      </c>
      <c r="C2779" s="22">
        <v>617</v>
      </c>
      <c r="D2779" s="86">
        <v>14879960</v>
      </c>
      <c r="E2779" s="86">
        <v>2638875</v>
      </c>
      <c r="F2779" s="87">
        <v>2724472</v>
      </c>
      <c r="G2779" s="87">
        <v>8117211</v>
      </c>
      <c r="H2779" s="88">
        <v>1399400</v>
      </c>
    </row>
    <row r="2780" spans="1:8" ht="24" customHeight="1" x14ac:dyDescent="0.15">
      <c r="A2780" s="250"/>
      <c r="B2780" s="23" t="s">
        <v>16</v>
      </c>
      <c r="C2780" s="22">
        <v>52933</v>
      </c>
      <c r="D2780" s="86">
        <v>13162214</v>
      </c>
      <c r="E2780" s="86">
        <v>1143325</v>
      </c>
      <c r="F2780" s="87">
        <v>5347104</v>
      </c>
      <c r="G2780" s="87">
        <v>6294044</v>
      </c>
      <c r="H2780" s="88">
        <v>377740</v>
      </c>
    </row>
    <row r="2781" spans="1:8" ht="24" customHeight="1" x14ac:dyDescent="0.15">
      <c r="A2781" s="250"/>
      <c r="B2781" s="23" t="s">
        <v>15</v>
      </c>
      <c r="C2781" s="22">
        <v>533</v>
      </c>
      <c r="D2781" s="86">
        <v>1382998</v>
      </c>
      <c r="E2781" s="86">
        <v>112221</v>
      </c>
      <c r="F2781" s="87">
        <v>861383</v>
      </c>
      <c r="G2781" s="87">
        <v>409394</v>
      </c>
      <c r="H2781" s="88">
        <v>0</v>
      </c>
    </row>
    <row r="2782" spans="1:8" ht="24" customHeight="1" x14ac:dyDescent="0.15">
      <c r="A2782" s="250"/>
      <c r="B2782" s="23" t="s">
        <v>14</v>
      </c>
      <c r="C2782" s="22">
        <v>46</v>
      </c>
      <c r="D2782" s="86">
        <v>232300</v>
      </c>
      <c r="E2782" s="86">
        <v>102338</v>
      </c>
      <c r="F2782" s="87">
        <v>17900</v>
      </c>
      <c r="G2782" s="87">
        <v>81961</v>
      </c>
      <c r="H2782" s="88">
        <v>30101</v>
      </c>
    </row>
    <row r="2783" spans="1:8" ht="24" customHeight="1" x14ac:dyDescent="0.15">
      <c r="A2783" s="250"/>
      <c r="B2783" s="23" t="s">
        <v>13</v>
      </c>
      <c r="C2783" s="22">
        <v>476</v>
      </c>
      <c r="D2783" s="86">
        <v>2400605</v>
      </c>
      <c r="E2783" s="86">
        <v>219851</v>
      </c>
      <c r="F2783" s="87">
        <v>1149926</v>
      </c>
      <c r="G2783" s="87">
        <v>973008</v>
      </c>
      <c r="H2783" s="88">
        <v>57820</v>
      </c>
    </row>
    <row r="2784" spans="1:8" ht="24" customHeight="1" x14ac:dyDescent="0.15">
      <c r="A2784" s="250"/>
      <c r="B2784" s="23" t="s">
        <v>1805</v>
      </c>
      <c r="C2784" s="22">
        <v>301</v>
      </c>
      <c r="D2784" s="86">
        <v>8892700</v>
      </c>
      <c r="E2784" s="86">
        <v>838870</v>
      </c>
      <c r="F2784" s="87">
        <v>1726400</v>
      </c>
      <c r="G2784" s="87">
        <v>5619000</v>
      </c>
      <c r="H2784" s="88">
        <v>708430</v>
      </c>
    </row>
    <row r="2785" spans="1:8" ht="24" customHeight="1" x14ac:dyDescent="0.15">
      <c r="A2785" s="250"/>
      <c r="B2785" s="23" t="s">
        <v>11</v>
      </c>
      <c r="C2785" s="22">
        <v>49</v>
      </c>
      <c r="D2785" s="86">
        <v>1815600</v>
      </c>
      <c r="E2785" s="86">
        <v>166600</v>
      </c>
      <c r="F2785" s="87">
        <v>631700</v>
      </c>
      <c r="G2785" s="87">
        <v>862800</v>
      </c>
      <c r="H2785" s="88">
        <v>154500</v>
      </c>
    </row>
    <row r="2786" spans="1:8" ht="24" customHeight="1" x14ac:dyDescent="0.15">
      <c r="A2786" s="250"/>
      <c r="B2786" s="23" t="s">
        <v>1806</v>
      </c>
      <c r="C2786" s="22">
        <v>0</v>
      </c>
      <c r="D2786" s="86">
        <v>0</v>
      </c>
      <c r="E2786" s="86">
        <v>0</v>
      </c>
      <c r="F2786" s="87">
        <v>0</v>
      </c>
      <c r="G2786" s="87">
        <v>0</v>
      </c>
      <c r="H2786" s="88">
        <v>0</v>
      </c>
    </row>
    <row r="2787" spans="1:8" ht="24" customHeight="1" x14ac:dyDescent="0.15">
      <c r="A2787" s="250"/>
      <c r="B2787" s="23" t="s">
        <v>1807</v>
      </c>
      <c r="C2787" s="22">
        <v>3</v>
      </c>
      <c r="D2787" s="86">
        <v>10800</v>
      </c>
      <c r="E2787" s="86">
        <v>0</v>
      </c>
      <c r="F2787" s="87">
        <v>0</v>
      </c>
      <c r="G2787" s="87">
        <v>10800</v>
      </c>
      <c r="H2787" s="88">
        <v>0</v>
      </c>
    </row>
    <row r="2788" spans="1:8" ht="24" customHeight="1" x14ac:dyDescent="0.15">
      <c r="A2788" s="250"/>
      <c r="B2788" s="23" t="s">
        <v>8</v>
      </c>
      <c r="C2788" s="22">
        <v>1</v>
      </c>
      <c r="D2788" s="86">
        <v>3000</v>
      </c>
      <c r="E2788" s="86">
        <v>100</v>
      </c>
      <c r="F2788" s="87">
        <v>0</v>
      </c>
      <c r="G2788" s="87">
        <v>2100</v>
      </c>
      <c r="H2788" s="88">
        <v>800</v>
      </c>
    </row>
    <row r="2789" spans="1:8" ht="24" customHeight="1" x14ac:dyDescent="0.15">
      <c r="A2789" s="251"/>
      <c r="B2789" s="23" t="s">
        <v>7</v>
      </c>
      <c r="C2789" s="22">
        <v>20</v>
      </c>
      <c r="D2789" s="86">
        <v>14001</v>
      </c>
      <c r="E2789" s="86">
        <v>466</v>
      </c>
      <c r="F2789" s="87">
        <v>11820</v>
      </c>
      <c r="G2789" s="87">
        <v>1715</v>
      </c>
      <c r="H2789" s="88">
        <v>0</v>
      </c>
    </row>
    <row r="2790" spans="1:8" ht="24" customHeight="1" x14ac:dyDescent="0.15">
      <c r="A2790" s="18" t="s">
        <v>6</v>
      </c>
      <c r="B2790" s="17" t="s">
        <v>5</v>
      </c>
      <c r="C2790" s="16">
        <v>3296</v>
      </c>
      <c r="D2790" s="80">
        <v>19799253</v>
      </c>
      <c r="E2790" s="80">
        <v>763500</v>
      </c>
      <c r="F2790" s="81">
        <v>8898548</v>
      </c>
      <c r="G2790" s="81">
        <v>6549305</v>
      </c>
      <c r="H2790" s="82">
        <v>3587900</v>
      </c>
    </row>
    <row r="2791" spans="1:8" ht="24" customHeight="1" x14ac:dyDescent="0.15">
      <c r="A2791" s="252" t="s">
        <v>1808</v>
      </c>
      <c r="B2791" s="12" t="s">
        <v>3</v>
      </c>
      <c r="C2791" s="11">
        <v>5953</v>
      </c>
      <c r="D2791" s="89">
        <v>76501122</v>
      </c>
      <c r="E2791" s="89">
        <v>46462957</v>
      </c>
      <c r="F2791" s="90">
        <v>12687302</v>
      </c>
      <c r="G2791" s="90">
        <v>10759068</v>
      </c>
      <c r="H2791" s="91">
        <v>6591794</v>
      </c>
    </row>
    <row r="2792" spans="1:8" ht="24" customHeight="1" thickBot="1" x14ac:dyDescent="0.2">
      <c r="A2792" s="253"/>
      <c r="B2792" s="7" t="s">
        <v>1809</v>
      </c>
      <c r="C2792" s="6">
        <v>6112</v>
      </c>
      <c r="D2792" s="92" t="s">
        <v>1810</v>
      </c>
      <c r="E2792" s="92" t="s">
        <v>1</v>
      </c>
      <c r="F2792" s="92" t="s">
        <v>1811</v>
      </c>
      <c r="G2792" s="92" t="s">
        <v>1</v>
      </c>
      <c r="H2792" s="93" t="s">
        <v>1</v>
      </c>
    </row>
    <row r="2793" spans="1:8" ht="24" customHeight="1" x14ac:dyDescent="0.15">
      <c r="A2793" s="3" t="s">
        <v>1812</v>
      </c>
      <c r="B2793" s="2"/>
      <c r="C2793" s="2"/>
      <c r="D2793" s="2"/>
      <c r="E2793" s="2"/>
      <c r="F2793" s="2"/>
      <c r="G2793" s="2"/>
      <c r="H2793" s="2"/>
    </row>
    <row r="2794" spans="1:8" ht="24" customHeight="1" x14ac:dyDescent="0.15">
      <c r="A2794" s="3" t="s">
        <v>2587</v>
      </c>
      <c r="B2794" s="2"/>
      <c r="C2794" s="2"/>
      <c r="D2794" s="2"/>
      <c r="E2794" s="2"/>
      <c r="F2794" s="2"/>
      <c r="G2794" s="2"/>
      <c r="H2794" s="2"/>
    </row>
    <row r="2795" spans="1:8" ht="24" customHeight="1" x14ac:dyDescent="0.15">
      <c r="A2795" s="3" t="s">
        <v>1156</v>
      </c>
      <c r="B2795" s="2"/>
      <c r="C2795" s="2"/>
      <c r="D2795" s="2"/>
      <c r="E2795" s="2"/>
      <c r="F2795" s="2"/>
      <c r="G2795" s="2"/>
      <c r="H2795" s="2"/>
    </row>
    <row r="2796" spans="1:8" ht="22.5" customHeight="1" x14ac:dyDescent="0.15">
      <c r="A2796" s="3" t="s">
        <v>1813</v>
      </c>
      <c r="B2796" s="2"/>
      <c r="C2796" s="2"/>
      <c r="D2796" s="2"/>
      <c r="E2796" s="2"/>
      <c r="F2796" s="2"/>
      <c r="G2796" s="2"/>
      <c r="H2796" s="2"/>
    </row>
    <row r="2797" spans="1:8" ht="24" customHeight="1" x14ac:dyDescent="0.15">
      <c r="A2797" s="230" t="s">
        <v>1745</v>
      </c>
      <c r="B2797" s="230"/>
      <c r="C2797" s="230"/>
      <c r="D2797" s="230"/>
      <c r="E2797" s="230"/>
      <c r="F2797" s="230"/>
      <c r="G2797" s="230"/>
      <c r="H2797" s="230"/>
    </row>
    <row r="2798" spans="1:8" ht="24" customHeight="1" x14ac:dyDescent="0.15">
      <c r="A2798" s="231"/>
      <c r="B2798" s="231"/>
      <c r="C2798" s="231"/>
      <c r="D2798" s="231"/>
      <c r="E2798" s="231"/>
      <c r="F2798" s="231"/>
      <c r="G2798" s="231"/>
      <c r="H2798" s="231"/>
    </row>
    <row r="2799" spans="1:8" ht="24" customHeight="1" thickBot="1" x14ac:dyDescent="0.2">
      <c r="A2799" s="58" t="s">
        <v>1765</v>
      </c>
    </row>
    <row r="2800" spans="1:8" ht="24" customHeight="1" x14ac:dyDescent="0.15">
      <c r="A2800" s="232" t="s">
        <v>47</v>
      </c>
      <c r="B2800" s="235" t="s">
        <v>46</v>
      </c>
      <c r="C2800" s="238" t="s">
        <v>45</v>
      </c>
      <c r="D2800" s="241" t="s">
        <v>1766</v>
      </c>
      <c r="E2800" s="57"/>
      <c r="F2800" s="56"/>
      <c r="G2800" s="56"/>
      <c r="H2800" s="55"/>
    </row>
    <row r="2801" spans="1:8" ht="24" customHeight="1" x14ac:dyDescent="0.15">
      <c r="A2801" s="233"/>
      <c r="B2801" s="236"/>
      <c r="C2801" s="239"/>
      <c r="D2801" s="242"/>
      <c r="E2801" s="244" t="s">
        <v>43</v>
      </c>
      <c r="F2801" s="246" t="s">
        <v>42</v>
      </c>
      <c r="G2801" s="246" t="s">
        <v>41</v>
      </c>
      <c r="H2801" s="248" t="s">
        <v>1767</v>
      </c>
    </row>
    <row r="2802" spans="1:8" ht="24" customHeight="1" thickBot="1" x14ac:dyDescent="0.2">
      <c r="A2802" s="234"/>
      <c r="B2802" s="237"/>
      <c r="C2802" s="240"/>
      <c r="D2802" s="243"/>
      <c r="E2802" s="245"/>
      <c r="F2802" s="247"/>
      <c r="G2802" s="247"/>
      <c r="H2802" s="249"/>
    </row>
    <row r="2803" spans="1:8" ht="24" customHeight="1" thickTop="1" x14ac:dyDescent="0.15">
      <c r="A2803" s="54"/>
      <c r="B2803" s="53"/>
      <c r="C2803" s="52"/>
      <c r="D2803" s="51" t="s">
        <v>1768</v>
      </c>
      <c r="E2803" s="50" t="s">
        <v>39</v>
      </c>
      <c r="F2803" s="49" t="s">
        <v>39</v>
      </c>
      <c r="G2803" s="49" t="s">
        <v>1769</v>
      </c>
      <c r="H2803" s="48" t="s">
        <v>1770</v>
      </c>
    </row>
    <row r="2804" spans="1:8" ht="24" customHeight="1" x14ac:dyDescent="0.15">
      <c r="A2804" s="250" t="s">
        <v>38</v>
      </c>
      <c r="B2804" s="61" t="s">
        <v>37</v>
      </c>
      <c r="C2804" s="62">
        <v>3745</v>
      </c>
      <c r="D2804" s="63">
        <v>644591359</v>
      </c>
      <c r="E2804" s="63">
        <v>240033424</v>
      </c>
      <c r="F2804" s="64">
        <v>198491859</v>
      </c>
      <c r="G2804" s="64">
        <v>201416826</v>
      </c>
      <c r="H2804" s="65">
        <v>4649250</v>
      </c>
    </row>
    <row r="2805" spans="1:8" ht="24" customHeight="1" x14ac:dyDescent="0.15">
      <c r="A2805" s="250"/>
      <c r="B2805" s="66" t="s">
        <v>36</v>
      </c>
      <c r="C2805" s="67">
        <v>31</v>
      </c>
      <c r="D2805" s="68">
        <v>314941</v>
      </c>
      <c r="E2805" s="68">
        <v>84919</v>
      </c>
      <c r="F2805" s="69">
        <v>202764</v>
      </c>
      <c r="G2805" s="69">
        <v>27258</v>
      </c>
      <c r="H2805" s="70">
        <v>0</v>
      </c>
    </row>
    <row r="2806" spans="1:8" ht="24" customHeight="1" x14ac:dyDescent="0.15">
      <c r="A2806" s="250"/>
      <c r="B2806" s="66" t="s">
        <v>1771</v>
      </c>
      <c r="C2806" s="67">
        <v>108</v>
      </c>
      <c r="D2806" s="68">
        <v>1931</v>
      </c>
      <c r="E2806" s="68">
        <v>1527</v>
      </c>
      <c r="F2806" s="69">
        <v>299</v>
      </c>
      <c r="G2806" s="69">
        <v>104</v>
      </c>
      <c r="H2806" s="70">
        <v>0</v>
      </c>
    </row>
    <row r="2807" spans="1:8" ht="24" customHeight="1" x14ac:dyDescent="0.15">
      <c r="A2807" s="250"/>
      <c r="B2807" s="71" t="s">
        <v>34</v>
      </c>
      <c r="C2807" s="72">
        <v>1</v>
      </c>
      <c r="D2807" s="73">
        <v>167919</v>
      </c>
      <c r="E2807" s="73">
        <v>127224</v>
      </c>
      <c r="F2807" s="74">
        <v>8335</v>
      </c>
      <c r="G2807" s="74">
        <v>30669</v>
      </c>
      <c r="H2807" s="75">
        <v>1689</v>
      </c>
    </row>
    <row r="2808" spans="1:8" ht="24" customHeight="1" x14ac:dyDescent="0.15">
      <c r="A2808" s="250"/>
      <c r="B2808" s="66" t="s">
        <v>1772</v>
      </c>
      <c r="C2808" s="67">
        <v>66</v>
      </c>
      <c r="D2808" s="68">
        <v>12784767</v>
      </c>
      <c r="E2808" s="68">
        <v>3455692</v>
      </c>
      <c r="F2808" s="69">
        <v>3383217</v>
      </c>
      <c r="G2808" s="69">
        <v>5881927</v>
      </c>
      <c r="H2808" s="70">
        <v>63930</v>
      </c>
    </row>
    <row r="2809" spans="1:8" ht="24" customHeight="1" x14ac:dyDescent="0.15">
      <c r="A2809" s="250"/>
      <c r="B2809" s="76" t="s">
        <v>1773</v>
      </c>
      <c r="C2809" s="67">
        <v>183</v>
      </c>
      <c r="D2809" s="68">
        <v>35191656</v>
      </c>
      <c r="E2809" s="68">
        <v>3973345</v>
      </c>
      <c r="F2809" s="69">
        <v>1422442</v>
      </c>
      <c r="G2809" s="69">
        <v>29762544</v>
      </c>
      <c r="H2809" s="70">
        <v>33325</v>
      </c>
    </row>
    <row r="2810" spans="1:8" ht="24" customHeight="1" x14ac:dyDescent="0.15">
      <c r="A2810" s="251"/>
      <c r="B2810" s="77" t="s">
        <v>1774</v>
      </c>
      <c r="C2810" s="72">
        <v>40</v>
      </c>
      <c r="D2810" s="73">
        <v>228703</v>
      </c>
      <c r="E2810" s="73">
        <v>201097</v>
      </c>
      <c r="F2810" s="74">
        <v>1622</v>
      </c>
      <c r="G2810" s="74">
        <v>25595</v>
      </c>
      <c r="H2810" s="75">
        <v>387</v>
      </c>
    </row>
    <row r="2811" spans="1:8" ht="24" customHeight="1" x14ac:dyDescent="0.15">
      <c r="A2811" s="30" t="s">
        <v>1746</v>
      </c>
      <c r="B2811" s="78" t="s">
        <v>1775</v>
      </c>
      <c r="C2811" s="79">
        <v>31</v>
      </c>
      <c r="D2811" s="80">
        <v>100021</v>
      </c>
      <c r="E2811" s="80">
        <v>98098</v>
      </c>
      <c r="F2811" s="81">
        <v>784</v>
      </c>
      <c r="G2811" s="81">
        <v>674</v>
      </c>
      <c r="H2811" s="82">
        <v>464</v>
      </c>
    </row>
    <row r="2812" spans="1:8" ht="24" customHeight="1" x14ac:dyDescent="0.15">
      <c r="A2812" s="252" t="s">
        <v>1747</v>
      </c>
      <c r="B2812" s="17" t="s">
        <v>1748</v>
      </c>
      <c r="C2812" s="16">
        <v>3179</v>
      </c>
      <c r="D2812" s="83">
        <v>61749846</v>
      </c>
      <c r="E2812" s="83">
        <v>9647046</v>
      </c>
      <c r="F2812" s="84">
        <v>11218033</v>
      </c>
      <c r="G2812" s="84">
        <v>32883324</v>
      </c>
      <c r="H2812" s="85">
        <v>8001442</v>
      </c>
    </row>
    <row r="2813" spans="1:8" ht="24" customHeight="1" x14ac:dyDescent="0.15">
      <c r="A2813" s="250"/>
      <c r="B2813" s="23" t="s">
        <v>1776</v>
      </c>
      <c r="C2813" s="22">
        <v>3149</v>
      </c>
      <c r="D2813" s="86">
        <v>14413600</v>
      </c>
      <c r="E2813" s="86">
        <v>624309</v>
      </c>
      <c r="F2813" s="87">
        <v>3985900</v>
      </c>
      <c r="G2813" s="87">
        <v>7991725</v>
      </c>
      <c r="H2813" s="88">
        <v>1811665</v>
      </c>
    </row>
    <row r="2814" spans="1:8" ht="24" customHeight="1" x14ac:dyDescent="0.15">
      <c r="A2814" s="250"/>
      <c r="B2814" s="24" t="s">
        <v>1749</v>
      </c>
      <c r="C2814" s="22">
        <v>630</v>
      </c>
      <c r="D2814" s="86">
        <v>31279440</v>
      </c>
      <c r="E2814" s="86">
        <v>2114931</v>
      </c>
      <c r="F2814" s="87">
        <v>8703803</v>
      </c>
      <c r="G2814" s="87">
        <v>15462309</v>
      </c>
      <c r="H2814" s="88">
        <v>4998394</v>
      </c>
    </row>
    <row r="2815" spans="1:8" ht="24" customHeight="1" x14ac:dyDescent="0.15">
      <c r="A2815" s="250"/>
      <c r="B2815" s="23" t="s">
        <v>1750</v>
      </c>
      <c r="C2815" s="22">
        <v>1717</v>
      </c>
      <c r="D2815" s="86">
        <v>50169200</v>
      </c>
      <c r="E2815" s="86">
        <v>4991904</v>
      </c>
      <c r="F2815" s="87">
        <v>9595227</v>
      </c>
      <c r="G2815" s="87">
        <v>31260395</v>
      </c>
      <c r="H2815" s="88">
        <v>4321671</v>
      </c>
    </row>
    <row r="2816" spans="1:8" ht="24" customHeight="1" x14ac:dyDescent="0.15">
      <c r="A2816" s="250"/>
      <c r="B2816" s="23" t="s">
        <v>1751</v>
      </c>
      <c r="C2816" s="22">
        <v>333</v>
      </c>
      <c r="D2816" s="86">
        <v>4502325</v>
      </c>
      <c r="E2816" s="86">
        <v>315158</v>
      </c>
      <c r="F2816" s="87">
        <v>95851</v>
      </c>
      <c r="G2816" s="87">
        <v>4049328</v>
      </c>
      <c r="H2816" s="88">
        <v>41986</v>
      </c>
    </row>
    <row r="2817" spans="1:8" ht="24" customHeight="1" x14ac:dyDescent="0.15">
      <c r="A2817" s="250"/>
      <c r="B2817" s="23" t="s">
        <v>1752</v>
      </c>
      <c r="C2817" s="22">
        <v>124</v>
      </c>
      <c r="D2817" s="86">
        <v>1137600</v>
      </c>
      <c r="E2817" s="86">
        <v>277300</v>
      </c>
      <c r="F2817" s="87">
        <v>88100</v>
      </c>
      <c r="G2817" s="87">
        <v>490080</v>
      </c>
      <c r="H2817" s="88">
        <v>282120</v>
      </c>
    </row>
    <row r="2818" spans="1:8" ht="24" customHeight="1" x14ac:dyDescent="0.15">
      <c r="A2818" s="250"/>
      <c r="B2818" s="23" t="s">
        <v>1777</v>
      </c>
      <c r="C2818" s="22">
        <v>28</v>
      </c>
      <c r="D2818" s="86">
        <v>227421</v>
      </c>
      <c r="E2818" s="86">
        <v>122487</v>
      </c>
      <c r="F2818" s="87">
        <v>14710</v>
      </c>
      <c r="G2818" s="87">
        <v>49105</v>
      </c>
      <c r="H2818" s="88">
        <v>41119</v>
      </c>
    </row>
    <row r="2819" spans="1:8" ht="24" customHeight="1" x14ac:dyDescent="0.15">
      <c r="A2819" s="250"/>
      <c r="B2819" s="23" t="s">
        <v>1753</v>
      </c>
      <c r="C2819" s="22">
        <v>0</v>
      </c>
      <c r="D2819" s="86">
        <v>0</v>
      </c>
      <c r="E2819" s="86">
        <v>0</v>
      </c>
      <c r="F2819" s="87">
        <v>0</v>
      </c>
      <c r="G2819" s="87">
        <v>0</v>
      </c>
      <c r="H2819" s="88">
        <v>0</v>
      </c>
    </row>
    <row r="2820" spans="1:8" ht="24" customHeight="1" x14ac:dyDescent="0.15">
      <c r="A2820" s="250"/>
      <c r="B2820" s="23" t="s">
        <v>1754</v>
      </c>
      <c r="C2820" s="22">
        <v>243</v>
      </c>
      <c r="D2820" s="86">
        <v>8362830</v>
      </c>
      <c r="E2820" s="86">
        <v>801230</v>
      </c>
      <c r="F2820" s="87">
        <v>2754360</v>
      </c>
      <c r="G2820" s="87">
        <v>3231370</v>
      </c>
      <c r="H2820" s="88">
        <v>1575870</v>
      </c>
    </row>
    <row r="2821" spans="1:8" ht="24" customHeight="1" x14ac:dyDescent="0.15">
      <c r="A2821" s="250"/>
      <c r="B2821" s="23" t="s">
        <v>1755</v>
      </c>
      <c r="C2821" s="22">
        <v>3233</v>
      </c>
      <c r="D2821" s="86">
        <v>62843774</v>
      </c>
      <c r="E2821" s="86">
        <v>14344340</v>
      </c>
      <c r="F2821" s="87">
        <v>9843729</v>
      </c>
      <c r="G2821" s="87">
        <v>31620896</v>
      </c>
      <c r="H2821" s="88">
        <v>7034807</v>
      </c>
    </row>
    <row r="2822" spans="1:8" ht="24" customHeight="1" x14ac:dyDescent="0.15">
      <c r="A2822" s="250"/>
      <c r="B2822" s="23" t="s">
        <v>1756</v>
      </c>
      <c r="C2822" s="22">
        <v>617</v>
      </c>
      <c r="D2822" s="86">
        <v>14989460</v>
      </c>
      <c r="E2822" s="86">
        <v>2617072</v>
      </c>
      <c r="F2822" s="87">
        <v>2741554</v>
      </c>
      <c r="G2822" s="87">
        <v>8222902</v>
      </c>
      <c r="H2822" s="88">
        <v>1407930</v>
      </c>
    </row>
    <row r="2823" spans="1:8" ht="24" customHeight="1" x14ac:dyDescent="0.15">
      <c r="A2823" s="250"/>
      <c r="B2823" s="23" t="s">
        <v>1757</v>
      </c>
      <c r="C2823" s="22">
        <v>52615</v>
      </c>
      <c r="D2823" s="86">
        <v>13064507</v>
      </c>
      <c r="E2823" s="86">
        <v>1082761</v>
      </c>
      <c r="F2823" s="87">
        <v>5350325</v>
      </c>
      <c r="G2823" s="87">
        <v>6255880</v>
      </c>
      <c r="H2823" s="88">
        <v>375540</v>
      </c>
    </row>
    <row r="2824" spans="1:8" ht="24" customHeight="1" x14ac:dyDescent="0.15">
      <c r="A2824" s="250"/>
      <c r="B2824" s="23" t="s">
        <v>1758</v>
      </c>
      <c r="C2824" s="22">
        <v>532</v>
      </c>
      <c r="D2824" s="86">
        <v>1362998</v>
      </c>
      <c r="E2824" s="86">
        <v>112221</v>
      </c>
      <c r="F2824" s="87">
        <v>861383</v>
      </c>
      <c r="G2824" s="87">
        <v>389394</v>
      </c>
      <c r="H2824" s="88">
        <v>0</v>
      </c>
    </row>
    <row r="2825" spans="1:8" ht="24" customHeight="1" x14ac:dyDescent="0.15">
      <c r="A2825" s="250"/>
      <c r="B2825" s="23" t="s">
        <v>1759</v>
      </c>
      <c r="C2825" s="22">
        <v>46</v>
      </c>
      <c r="D2825" s="86">
        <v>232300</v>
      </c>
      <c r="E2825" s="86">
        <v>102238</v>
      </c>
      <c r="F2825" s="87">
        <v>17900</v>
      </c>
      <c r="G2825" s="87">
        <v>82261</v>
      </c>
      <c r="H2825" s="88">
        <v>29901</v>
      </c>
    </row>
    <row r="2826" spans="1:8" ht="24" customHeight="1" x14ac:dyDescent="0.15">
      <c r="A2826" s="250"/>
      <c r="B2826" s="23" t="s">
        <v>1778</v>
      </c>
      <c r="C2826" s="22">
        <v>483</v>
      </c>
      <c r="D2826" s="86">
        <v>2413611</v>
      </c>
      <c r="E2826" s="86">
        <v>231676</v>
      </c>
      <c r="F2826" s="87">
        <v>1154387</v>
      </c>
      <c r="G2826" s="87">
        <v>968988</v>
      </c>
      <c r="H2826" s="88">
        <v>58560</v>
      </c>
    </row>
    <row r="2827" spans="1:8" ht="24" customHeight="1" x14ac:dyDescent="0.15">
      <c r="A2827" s="250"/>
      <c r="B2827" s="23" t="s">
        <v>1779</v>
      </c>
      <c r="C2827" s="22">
        <v>302</v>
      </c>
      <c r="D2827" s="86">
        <v>8921700</v>
      </c>
      <c r="E2827" s="86">
        <v>847270</v>
      </c>
      <c r="F2827" s="87">
        <v>1665100</v>
      </c>
      <c r="G2827" s="87">
        <v>5723200</v>
      </c>
      <c r="H2827" s="88">
        <v>686130</v>
      </c>
    </row>
    <row r="2828" spans="1:8" ht="24" customHeight="1" x14ac:dyDescent="0.15">
      <c r="A2828" s="250"/>
      <c r="B2828" s="23" t="s">
        <v>1780</v>
      </c>
      <c r="C2828" s="22">
        <v>49</v>
      </c>
      <c r="D2828" s="86">
        <v>1815600</v>
      </c>
      <c r="E2828" s="86">
        <v>166600</v>
      </c>
      <c r="F2828" s="87">
        <v>631700</v>
      </c>
      <c r="G2828" s="87">
        <v>862800</v>
      </c>
      <c r="H2828" s="88">
        <v>154500</v>
      </c>
    </row>
    <row r="2829" spans="1:8" ht="24" customHeight="1" x14ac:dyDescent="0.15">
      <c r="A2829" s="250"/>
      <c r="B2829" s="23" t="s">
        <v>1760</v>
      </c>
      <c r="C2829" s="22">
        <v>0</v>
      </c>
      <c r="D2829" s="86">
        <v>0</v>
      </c>
      <c r="E2829" s="86">
        <v>0</v>
      </c>
      <c r="F2829" s="87">
        <v>0</v>
      </c>
      <c r="G2829" s="87">
        <v>0</v>
      </c>
      <c r="H2829" s="88">
        <v>0</v>
      </c>
    </row>
    <row r="2830" spans="1:8" ht="24" customHeight="1" x14ac:dyDescent="0.15">
      <c r="A2830" s="250"/>
      <c r="B2830" s="23" t="s">
        <v>1781</v>
      </c>
      <c r="C2830" s="22">
        <v>3</v>
      </c>
      <c r="D2830" s="86">
        <v>10800</v>
      </c>
      <c r="E2830" s="86">
        <v>0</v>
      </c>
      <c r="F2830" s="87">
        <v>0</v>
      </c>
      <c r="G2830" s="87">
        <v>10800</v>
      </c>
      <c r="H2830" s="88">
        <v>0</v>
      </c>
    </row>
    <row r="2831" spans="1:8" ht="24" customHeight="1" x14ac:dyDescent="0.15">
      <c r="A2831" s="250"/>
      <c r="B2831" s="23" t="s">
        <v>1761</v>
      </c>
      <c r="C2831" s="22">
        <v>1</v>
      </c>
      <c r="D2831" s="86">
        <v>3000</v>
      </c>
      <c r="E2831" s="86">
        <v>100</v>
      </c>
      <c r="F2831" s="87">
        <v>0</v>
      </c>
      <c r="G2831" s="87">
        <v>2100</v>
      </c>
      <c r="H2831" s="88">
        <v>800</v>
      </c>
    </row>
    <row r="2832" spans="1:8" ht="24" customHeight="1" x14ac:dyDescent="0.15">
      <c r="A2832" s="251"/>
      <c r="B2832" s="23" t="s">
        <v>1762</v>
      </c>
      <c r="C2832" s="22">
        <v>20</v>
      </c>
      <c r="D2832" s="86">
        <v>14001</v>
      </c>
      <c r="E2832" s="86">
        <v>466</v>
      </c>
      <c r="F2832" s="87">
        <v>11820</v>
      </c>
      <c r="G2832" s="87">
        <v>1715</v>
      </c>
      <c r="H2832" s="88">
        <v>0</v>
      </c>
    </row>
    <row r="2833" spans="1:8" ht="24" customHeight="1" x14ac:dyDescent="0.15">
      <c r="A2833" s="18" t="s">
        <v>1782</v>
      </c>
      <c r="B2833" s="17" t="s">
        <v>1783</v>
      </c>
      <c r="C2833" s="16">
        <v>3232</v>
      </c>
      <c r="D2833" s="80">
        <v>18254459</v>
      </c>
      <c r="E2833" s="80">
        <v>795400</v>
      </c>
      <c r="F2833" s="81">
        <v>8139194</v>
      </c>
      <c r="G2833" s="81">
        <v>6069431</v>
      </c>
      <c r="H2833" s="82">
        <v>3250434</v>
      </c>
    </row>
    <row r="2834" spans="1:8" ht="24" customHeight="1" x14ac:dyDescent="0.15">
      <c r="A2834" s="252" t="s">
        <v>1784</v>
      </c>
      <c r="B2834" s="12" t="s">
        <v>1785</v>
      </c>
      <c r="C2834" s="11">
        <v>5948</v>
      </c>
      <c r="D2834" s="89">
        <v>75163127</v>
      </c>
      <c r="E2834" s="89">
        <v>45647410</v>
      </c>
      <c r="F2834" s="90">
        <v>12466569</v>
      </c>
      <c r="G2834" s="90">
        <v>10581038</v>
      </c>
      <c r="H2834" s="91">
        <v>6468109</v>
      </c>
    </row>
    <row r="2835" spans="1:8" ht="24" customHeight="1" thickBot="1" x14ac:dyDescent="0.2">
      <c r="A2835" s="253"/>
      <c r="B2835" s="7" t="s">
        <v>1763</v>
      </c>
      <c r="C2835" s="6">
        <v>6059</v>
      </c>
      <c r="D2835" s="92" t="s">
        <v>1786</v>
      </c>
      <c r="E2835" s="92" t="s">
        <v>54</v>
      </c>
      <c r="F2835" s="92" t="s">
        <v>54</v>
      </c>
      <c r="G2835" s="92" t="s">
        <v>54</v>
      </c>
      <c r="H2835" s="93" t="s">
        <v>54</v>
      </c>
    </row>
    <row r="2836" spans="1:8" ht="22.5" customHeight="1" x14ac:dyDescent="0.15">
      <c r="A2836" s="3" t="s">
        <v>1787</v>
      </c>
      <c r="B2836" s="2"/>
      <c r="C2836" s="2"/>
      <c r="D2836" s="2"/>
      <c r="E2836" s="2"/>
      <c r="F2836" s="2"/>
      <c r="G2836" s="2"/>
      <c r="H2836" s="2"/>
    </row>
    <row r="2837" spans="1:8" ht="24" customHeight="1" x14ac:dyDescent="0.15">
      <c r="A2837" s="3" t="s">
        <v>2587</v>
      </c>
      <c r="B2837" s="2"/>
      <c r="C2837" s="2"/>
      <c r="D2837" s="2"/>
      <c r="E2837" s="2"/>
      <c r="F2837" s="2"/>
      <c r="G2837" s="2"/>
      <c r="H2837" s="2"/>
    </row>
    <row r="2838" spans="1:8" ht="24" customHeight="1" x14ac:dyDescent="0.15">
      <c r="A2838" s="3" t="s">
        <v>1788</v>
      </c>
      <c r="B2838" s="2"/>
      <c r="C2838" s="2"/>
      <c r="D2838" s="2"/>
      <c r="E2838" s="2"/>
      <c r="F2838" s="2"/>
      <c r="G2838" s="2"/>
      <c r="H2838" s="2"/>
    </row>
    <row r="2839" spans="1:8" ht="24" customHeight="1" x14ac:dyDescent="0.15">
      <c r="A2839" s="3" t="s">
        <v>1764</v>
      </c>
      <c r="B2839" s="2"/>
      <c r="C2839" s="2"/>
      <c r="D2839" s="2"/>
      <c r="E2839" s="2"/>
      <c r="F2839" s="2"/>
      <c r="G2839" s="2"/>
      <c r="H2839" s="2"/>
    </row>
    <row r="2840" spans="1:8" ht="24" customHeight="1" x14ac:dyDescent="0.15">
      <c r="A2840" s="230" t="s">
        <v>1699</v>
      </c>
      <c r="B2840" s="230"/>
      <c r="C2840" s="230"/>
      <c r="D2840" s="230"/>
      <c r="E2840" s="230"/>
      <c r="F2840" s="230"/>
      <c r="G2840" s="230"/>
      <c r="H2840" s="230"/>
    </row>
    <row r="2841" spans="1:8" ht="24" customHeight="1" x14ac:dyDescent="0.15">
      <c r="A2841" s="231"/>
      <c r="B2841" s="231"/>
      <c r="C2841" s="231"/>
      <c r="D2841" s="231"/>
      <c r="E2841" s="231"/>
      <c r="F2841" s="231"/>
      <c r="G2841" s="231"/>
      <c r="H2841" s="231"/>
    </row>
    <row r="2842" spans="1:8" ht="24" customHeight="1" thickBot="1" x14ac:dyDescent="0.2">
      <c r="A2842" s="58" t="s">
        <v>1700</v>
      </c>
    </row>
    <row r="2843" spans="1:8" ht="24" customHeight="1" x14ac:dyDescent="0.15">
      <c r="A2843" s="232" t="s">
        <v>1701</v>
      </c>
      <c r="B2843" s="235" t="s">
        <v>1702</v>
      </c>
      <c r="C2843" s="238" t="s">
        <v>1703</v>
      </c>
      <c r="D2843" s="241" t="s">
        <v>44</v>
      </c>
      <c r="E2843" s="57"/>
      <c r="F2843" s="56"/>
      <c r="G2843" s="56"/>
      <c r="H2843" s="55"/>
    </row>
    <row r="2844" spans="1:8" ht="24" customHeight="1" x14ac:dyDescent="0.15">
      <c r="A2844" s="233"/>
      <c r="B2844" s="236"/>
      <c r="C2844" s="239"/>
      <c r="D2844" s="242"/>
      <c r="E2844" s="244" t="s">
        <v>1704</v>
      </c>
      <c r="F2844" s="246" t="s">
        <v>42</v>
      </c>
      <c r="G2844" s="246" t="s">
        <v>1705</v>
      </c>
      <c r="H2844" s="248" t="s">
        <v>1706</v>
      </c>
    </row>
    <row r="2845" spans="1:8" ht="24" customHeight="1" thickBot="1" x14ac:dyDescent="0.2">
      <c r="A2845" s="234"/>
      <c r="B2845" s="237"/>
      <c r="C2845" s="240"/>
      <c r="D2845" s="243"/>
      <c r="E2845" s="245"/>
      <c r="F2845" s="247"/>
      <c r="G2845" s="247"/>
      <c r="H2845" s="249"/>
    </row>
    <row r="2846" spans="1:8" ht="24" customHeight="1" thickTop="1" x14ac:dyDescent="0.15">
      <c r="A2846" s="54"/>
      <c r="B2846" s="53"/>
      <c r="C2846" s="52"/>
      <c r="D2846" s="51" t="s">
        <v>1707</v>
      </c>
      <c r="E2846" s="50" t="s">
        <v>1707</v>
      </c>
      <c r="F2846" s="49" t="s">
        <v>1708</v>
      </c>
      <c r="G2846" s="49" t="s">
        <v>1709</v>
      </c>
      <c r="H2846" s="48" t="s">
        <v>1710</v>
      </c>
    </row>
    <row r="2847" spans="1:8" ht="24" customHeight="1" x14ac:dyDescent="0.15">
      <c r="A2847" s="250" t="s">
        <v>1711</v>
      </c>
      <c r="B2847" s="61" t="s">
        <v>37</v>
      </c>
      <c r="C2847" s="62">
        <v>3753</v>
      </c>
      <c r="D2847" s="63">
        <v>788190341</v>
      </c>
      <c r="E2847" s="63">
        <v>299094097</v>
      </c>
      <c r="F2847" s="64">
        <v>239904951</v>
      </c>
      <c r="G2847" s="64">
        <v>242379989</v>
      </c>
      <c r="H2847" s="65">
        <v>6811303</v>
      </c>
    </row>
    <row r="2848" spans="1:8" ht="24" customHeight="1" x14ac:dyDescent="0.15">
      <c r="A2848" s="250"/>
      <c r="B2848" s="66" t="s">
        <v>1712</v>
      </c>
      <c r="C2848" s="67">
        <v>32</v>
      </c>
      <c r="D2848" s="68">
        <v>325433</v>
      </c>
      <c r="E2848" s="68">
        <v>84273</v>
      </c>
      <c r="F2848" s="69">
        <v>215294</v>
      </c>
      <c r="G2848" s="69">
        <v>25865</v>
      </c>
      <c r="H2848" s="70">
        <v>0</v>
      </c>
    </row>
    <row r="2849" spans="1:8" ht="24" customHeight="1" x14ac:dyDescent="0.15">
      <c r="A2849" s="250"/>
      <c r="B2849" s="66" t="s">
        <v>1713</v>
      </c>
      <c r="C2849" s="67">
        <v>104</v>
      </c>
      <c r="D2849" s="68">
        <v>0</v>
      </c>
      <c r="E2849" s="68">
        <v>0</v>
      </c>
      <c r="F2849" s="69">
        <v>0</v>
      </c>
      <c r="G2849" s="69">
        <v>0</v>
      </c>
      <c r="H2849" s="70">
        <v>0</v>
      </c>
    </row>
    <row r="2850" spans="1:8" ht="24" customHeight="1" x14ac:dyDescent="0.15">
      <c r="A2850" s="250"/>
      <c r="B2850" s="71" t="s">
        <v>1714</v>
      </c>
      <c r="C2850" s="72">
        <v>1</v>
      </c>
      <c r="D2850" s="73">
        <v>169477</v>
      </c>
      <c r="E2850" s="73">
        <v>128392</v>
      </c>
      <c r="F2850" s="74">
        <v>8425</v>
      </c>
      <c r="G2850" s="74">
        <v>30953</v>
      </c>
      <c r="H2850" s="75">
        <v>1705</v>
      </c>
    </row>
    <row r="2851" spans="1:8" ht="24" customHeight="1" x14ac:dyDescent="0.15">
      <c r="A2851" s="250"/>
      <c r="B2851" s="66" t="s">
        <v>1715</v>
      </c>
      <c r="C2851" s="67">
        <v>66</v>
      </c>
      <c r="D2851" s="68">
        <v>12983181</v>
      </c>
      <c r="E2851" s="68">
        <v>3510198</v>
      </c>
      <c r="F2851" s="69">
        <v>3405268</v>
      </c>
      <c r="G2851" s="69">
        <v>5995890</v>
      </c>
      <c r="H2851" s="70">
        <v>71824</v>
      </c>
    </row>
    <row r="2852" spans="1:8" ht="24" customHeight="1" x14ac:dyDescent="0.15">
      <c r="A2852" s="250"/>
      <c r="B2852" s="76" t="s">
        <v>1716</v>
      </c>
      <c r="C2852" s="67">
        <v>183</v>
      </c>
      <c r="D2852" s="68">
        <v>37482362</v>
      </c>
      <c r="E2852" s="68">
        <v>3699491</v>
      </c>
      <c r="F2852" s="69">
        <v>1881700</v>
      </c>
      <c r="G2852" s="69">
        <v>31872041</v>
      </c>
      <c r="H2852" s="70">
        <v>29128</v>
      </c>
    </row>
    <row r="2853" spans="1:8" ht="24" customHeight="1" x14ac:dyDescent="0.15">
      <c r="A2853" s="251"/>
      <c r="B2853" s="77" t="s">
        <v>1717</v>
      </c>
      <c r="C2853" s="72">
        <v>40</v>
      </c>
      <c r="D2853" s="73">
        <v>238274</v>
      </c>
      <c r="E2853" s="73">
        <v>211039</v>
      </c>
      <c r="F2853" s="74">
        <v>1824</v>
      </c>
      <c r="G2853" s="74">
        <v>24933</v>
      </c>
      <c r="H2853" s="75">
        <v>477</v>
      </c>
    </row>
    <row r="2854" spans="1:8" ht="24" customHeight="1" x14ac:dyDescent="0.15">
      <c r="A2854" s="30" t="s">
        <v>1718</v>
      </c>
      <c r="B2854" s="78" t="s">
        <v>1719</v>
      </c>
      <c r="C2854" s="79">
        <v>31</v>
      </c>
      <c r="D2854" s="80">
        <v>118570</v>
      </c>
      <c r="E2854" s="80">
        <v>115956</v>
      </c>
      <c r="F2854" s="81">
        <v>1144</v>
      </c>
      <c r="G2854" s="81">
        <v>647</v>
      </c>
      <c r="H2854" s="82">
        <v>822</v>
      </c>
    </row>
    <row r="2855" spans="1:8" ht="24" customHeight="1" x14ac:dyDescent="0.15">
      <c r="A2855" s="252" t="s">
        <v>1720</v>
      </c>
      <c r="B2855" s="17" t="s">
        <v>1721</v>
      </c>
      <c r="C2855" s="16">
        <v>3152</v>
      </c>
      <c r="D2855" s="83">
        <v>61458196</v>
      </c>
      <c r="E2855" s="83">
        <v>9509777</v>
      </c>
      <c r="F2855" s="84">
        <v>11064591</v>
      </c>
      <c r="G2855" s="84">
        <v>32925833</v>
      </c>
      <c r="H2855" s="85">
        <v>7957993</v>
      </c>
    </row>
    <row r="2856" spans="1:8" ht="24" customHeight="1" x14ac:dyDescent="0.15">
      <c r="A2856" s="250"/>
      <c r="B2856" s="23" t="s">
        <v>26</v>
      </c>
      <c r="C2856" s="22">
        <v>3124</v>
      </c>
      <c r="D2856" s="86">
        <v>14377867</v>
      </c>
      <c r="E2856" s="86">
        <v>586848</v>
      </c>
      <c r="F2856" s="87">
        <v>3997537</v>
      </c>
      <c r="G2856" s="87">
        <v>7990526</v>
      </c>
      <c r="H2856" s="88">
        <v>1802955</v>
      </c>
    </row>
    <row r="2857" spans="1:8" ht="24" customHeight="1" x14ac:dyDescent="0.15">
      <c r="A2857" s="250"/>
      <c r="B2857" s="24" t="s">
        <v>1722</v>
      </c>
      <c r="C2857" s="22">
        <v>630</v>
      </c>
      <c r="D2857" s="86">
        <v>31519440</v>
      </c>
      <c r="E2857" s="86">
        <v>2167379</v>
      </c>
      <c r="F2857" s="87">
        <v>8796265</v>
      </c>
      <c r="G2857" s="87">
        <v>15556128</v>
      </c>
      <c r="H2857" s="88">
        <v>4999666</v>
      </c>
    </row>
    <row r="2858" spans="1:8" ht="24" customHeight="1" x14ac:dyDescent="0.15">
      <c r="A2858" s="250"/>
      <c r="B2858" s="23" t="s">
        <v>1723</v>
      </c>
      <c r="C2858" s="22">
        <v>1695</v>
      </c>
      <c r="D2858" s="86">
        <v>49947300</v>
      </c>
      <c r="E2858" s="86">
        <v>5070935</v>
      </c>
      <c r="F2858" s="87">
        <v>9577387</v>
      </c>
      <c r="G2858" s="87">
        <v>30994705</v>
      </c>
      <c r="H2858" s="88">
        <v>4304271</v>
      </c>
    </row>
    <row r="2859" spans="1:8" ht="24" customHeight="1" x14ac:dyDescent="0.15">
      <c r="A2859" s="250"/>
      <c r="B2859" s="23" t="s">
        <v>1724</v>
      </c>
      <c r="C2859" s="22">
        <v>327</v>
      </c>
      <c r="D2859" s="86">
        <v>4456325</v>
      </c>
      <c r="E2859" s="86">
        <v>306677</v>
      </c>
      <c r="F2859" s="87">
        <v>95721</v>
      </c>
      <c r="G2859" s="87">
        <v>4011939</v>
      </c>
      <c r="H2859" s="88">
        <v>41986</v>
      </c>
    </row>
    <row r="2860" spans="1:8" ht="24" customHeight="1" x14ac:dyDescent="0.15">
      <c r="A2860" s="250"/>
      <c r="B2860" s="23" t="s">
        <v>1725</v>
      </c>
      <c r="C2860" s="22">
        <v>124</v>
      </c>
      <c r="D2860" s="86">
        <v>1137600</v>
      </c>
      <c r="E2860" s="86">
        <v>276300</v>
      </c>
      <c r="F2860" s="87">
        <v>87700</v>
      </c>
      <c r="G2860" s="87">
        <v>491380</v>
      </c>
      <c r="H2860" s="88">
        <v>282220</v>
      </c>
    </row>
    <row r="2861" spans="1:8" ht="24" customHeight="1" x14ac:dyDescent="0.15">
      <c r="A2861" s="250"/>
      <c r="B2861" s="23" t="s">
        <v>1726</v>
      </c>
      <c r="C2861" s="22">
        <v>28</v>
      </c>
      <c r="D2861" s="86">
        <v>227421</v>
      </c>
      <c r="E2861" s="86">
        <v>122487</v>
      </c>
      <c r="F2861" s="87">
        <v>14710</v>
      </c>
      <c r="G2861" s="87">
        <v>49105</v>
      </c>
      <c r="H2861" s="88">
        <v>41119</v>
      </c>
    </row>
    <row r="2862" spans="1:8" ht="24" customHeight="1" x14ac:dyDescent="0.15">
      <c r="A2862" s="250"/>
      <c r="B2862" s="23" t="s">
        <v>1727</v>
      </c>
      <c r="C2862" s="22">
        <v>0</v>
      </c>
      <c r="D2862" s="86">
        <v>0</v>
      </c>
      <c r="E2862" s="86">
        <v>0</v>
      </c>
      <c r="F2862" s="87">
        <v>0</v>
      </c>
      <c r="G2862" s="87">
        <v>0</v>
      </c>
      <c r="H2862" s="88">
        <v>0</v>
      </c>
    </row>
    <row r="2863" spans="1:8" ht="24" customHeight="1" x14ac:dyDescent="0.15">
      <c r="A2863" s="250"/>
      <c r="B2863" s="23" t="s">
        <v>19</v>
      </c>
      <c r="C2863" s="22">
        <v>243</v>
      </c>
      <c r="D2863" s="86">
        <v>8450280</v>
      </c>
      <c r="E2863" s="86">
        <v>807920</v>
      </c>
      <c r="F2863" s="87">
        <v>2768240</v>
      </c>
      <c r="G2863" s="87">
        <v>3257700</v>
      </c>
      <c r="H2863" s="88">
        <v>1616420</v>
      </c>
    </row>
    <row r="2864" spans="1:8" ht="24" customHeight="1" x14ac:dyDescent="0.15">
      <c r="A2864" s="250"/>
      <c r="B2864" s="23" t="s">
        <v>18</v>
      </c>
      <c r="C2864" s="22">
        <v>3197</v>
      </c>
      <c r="D2864" s="86">
        <v>62388414</v>
      </c>
      <c r="E2864" s="86">
        <v>14174746</v>
      </c>
      <c r="F2864" s="87">
        <v>9806358</v>
      </c>
      <c r="G2864" s="87">
        <v>31425279</v>
      </c>
      <c r="H2864" s="88">
        <v>6982029</v>
      </c>
    </row>
    <row r="2865" spans="1:8" ht="24" customHeight="1" x14ac:dyDescent="0.15">
      <c r="A2865" s="250"/>
      <c r="B2865" s="23" t="s">
        <v>1728</v>
      </c>
      <c r="C2865" s="22">
        <v>611</v>
      </c>
      <c r="D2865" s="86">
        <v>14929360</v>
      </c>
      <c r="E2865" s="86">
        <v>2571209</v>
      </c>
      <c r="F2865" s="87">
        <v>2789050</v>
      </c>
      <c r="G2865" s="87">
        <v>8176039</v>
      </c>
      <c r="H2865" s="88">
        <v>1393060</v>
      </c>
    </row>
    <row r="2866" spans="1:8" ht="24" customHeight="1" x14ac:dyDescent="0.15">
      <c r="A2866" s="250"/>
      <c r="B2866" s="23" t="s">
        <v>1729</v>
      </c>
      <c r="C2866" s="22">
        <v>52401</v>
      </c>
      <c r="D2866" s="86">
        <v>13200689</v>
      </c>
      <c r="E2866" s="86">
        <v>1068461</v>
      </c>
      <c r="F2866" s="87">
        <v>5518475</v>
      </c>
      <c r="G2866" s="87">
        <v>6245172</v>
      </c>
      <c r="H2866" s="88">
        <v>368580</v>
      </c>
    </row>
    <row r="2867" spans="1:8" ht="24" customHeight="1" x14ac:dyDescent="0.15">
      <c r="A2867" s="250"/>
      <c r="B2867" s="23" t="s">
        <v>1730</v>
      </c>
      <c r="C2867" s="22">
        <v>544</v>
      </c>
      <c r="D2867" s="86">
        <v>1516214</v>
      </c>
      <c r="E2867" s="86">
        <v>92221</v>
      </c>
      <c r="F2867" s="87">
        <v>1027274</v>
      </c>
      <c r="G2867" s="87">
        <v>396719</v>
      </c>
      <c r="H2867" s="88">
        <v>0</v>
      </c>
    </row>
    <row r="2868" spans="1:8" ht="24" customHeight="1" x14ac:dyDescent="0.15">
      <c r="A2868" s="250"/>
      <c r="B2868" s="23" t="s">
        <v>1731</v>
      </c>
      <c r="C2868" s="22">
        <v>46</v>
      </c>
      <c r="D2868" s="86">
        <v>232300</v>
      </c>
      <c r="E2868" s="86">
        <v>102439</v>
      </c>
      <c r="F2868" s="87">
        <v>17900</v>
      </c>
      <c r="G2868" s="87">
        <v>82060</v>
      </c>
      <c r="H2868" s="88">
        <v>29901</v>
      </c>
    </row>
    <row r="2869" spans="1:8" ht="24" customHeight="1" x14ac:dyDescent="0.15">
      <c r="A2869" s="250"/>
      <c r="B2869" s="23" t="s">
        <v>1732</v>
      </c>
      <c r="C2869" s="22">
        <v>473</v>
      </c>
      <c r="D2869" s="86">
        <v>2431280</v>
      </c>
      <c r="E2869" s="86">
        <v>239133</v>
      </c>
      <c r="F2869" s="87">
        <v>1159829</v>
      </c>
      <c r="G2869" s="87">
        <v>973758</v>
      </c>
      <c r="H2869" s="88">
        <v>58560</v>
      </c>
    </row>
    <row r="2870" spans="1:8" ht="24" customHeight="1" x14ac:dyDescent="0.15">
      <c r="A2870" s="250"/>
      <c r="B2870" s="23" t="s">
        <v>1733</v>
      </c>
      <c r="C2870" s="22">
        <v>301</v>
      </c>
      <c r="D2870" s="86">
        <v>8694100</v>
      </c>
      <c r="E2870" s="86">
        <v>820070</v>
      </c>
      <c r="F2870" s="87">
        <v>1661300</v>
      </c>
      <c r="G2870" s="87">
        <v>5573900</v>
      </c>
      <c r="H2870" s="88">
        <v>638830</v>
      </c>
    </row>
    <row r="2871" spans="1:8" ht="24" customHeight="1" x14ac:dyDescent="0.15">
      <c r="A2871" s="250"/>
      <c r="B2871" s="23" t="s">
        <v>1734</v>
      </c>
      <c r="C2871" s="22">
        <v>48</v>
      </c>
      <c r="D2871" s="86">
        <v>1812600</v>
      </c>
      <c r="E2871" s="86">
        <v>195800</v>
      </c>
      <c r="F2871" s="87">
        <v>627700</v>
      </c>
      <c r="G2871" s="87">
        <v>835200</v>
      </c>
      <c r="H2871" s="88">
        <v>153900</v>
      </c>
    </row>
    <row r="2872" spans="1:8" ht="24" customHeight="1" x14ac:dyDescent="0.15">
      <c r="A2872" s="250"/>
      <c r="B2872" s="23" t="s">
        <v>1735</v>
      </c>
      <c r="C2872" s="22">
        <v>0</v>
      </c>
      <c r="D2872" s="86">
        <v>0</v>
      </c>
      <c r="E2872" s="86">
        <v>0</v>
      </c>
      <c r="F2872" s="87">
        <v>0</v>
      </c>
      <c r="G2872" s="87">
        <v>0</v>
      </c>
      <c r="H2872" s="88">
        <v>0</v>
      </c>
    </row>
    <row r="2873" spans="1:8" ht="24" customHeight="1" x14ac:dyDescent="0.15">
      <c r="A2873" s="250"/>
      <c r="B2873" s="23" t="s">
        <v>9</v>
      </c>
      <c r="C2873" s="22">
        <v>3</v>
      </c>
      <c r="D2873" s="86">
        <v>10800</v>
      </c>
      <c r="E2873" s="86">
        <v>0</v>
      </c>
      <c r="F2873" s="87">
        <v>0</v>
      </c>
      <c r="G2873" s="87">
        <v>10800</v>
      </c>
      <c r="H2873" s="88">
        <v>0</v>
      </c>
    </row>
    <row r="2874" spans="1:8" ht="24" customHeight="1" x14ac:dyDescent="0.15">
      <c r="A2874" s="250"/>
      <c r="B2874" s="23" t="s">
        <v>1736</v>
      </c>
      <c r="C2874" s="22">
        <v>1</v>
      </c>
      <c r="D2874" s="86">
        <v>3000</v>
      </c>
      <c r="E2874" s="86">
        <v>100</v>
      </c>
      <c r="F2874" s="87">
        <v>0</v>
      </c>
      <c r="G2874" s="87">
        <v>2100</v>
      </c>
      <c r="H2874" s="88">
        <v>800</v>
      </c>
    </row>
    <row r="2875" spans="1:8" ht="24" customHeight="1" x14ac:dyDescent="0.15">
      <c r="A2875" s="251"/>
      <c r="B2875" s="23" t="s">
        <v>1737</v>
      </c>
      <c r="C2875" s="22">
        <v>20</v>
      </c>
      <c r="D2875" s="86">
        <v>14001</v>
      </c>
      <c r="E2875" s="86">
        <v>466</v>
      </c>
      <c r="F2875" s="87">
        <v>11820</v>
      </c>
      <c r="G2875" s="87">
        <v>1715</v>
      </c>
      <c r="H2875" s="88">
        <v>0</v>
      </c>
    </row>
    <row r="2876" spans="1:8" ht="22.5" customHeight="1" x14ac:dyDescent="0.15">
      <c r="A2876" s="18" t="s">
        <v>1738</v>
      </c>
      <c r="B2876" s="17" t="s">
        <v>1739</v>
      </c>
      <c r="C2876" s="16">
        <v>3239</v>
      </c>
      <c r="D2876" s="80">
        <v>15996010</v>
      </c>
      <c r="E2876" s="80">
        <v>804600</v>
      </c>
      <c r="F2876" s="81">
        <v>7046786</v>
      </c>
      <c r="G2876" s="81">
        <v>5552495</v>
      </c>
      <c r="H2876" s="82">
        <v>2592129</v>
      </c>
    </row>
    <row r="2877" spans="1:8" ht="24" customHeight="1" x14ac:dyDescent="0.15">
      <c r="A2877" s="252" t="s">
        <v>1740</v>
      </c>
      <c r="B2877" s="12" t="s">
        <v>1741</v>
      </c>
      <c r="C2877" s="11">
        <v>5955</v>
      </c>
      <c r="D2877" s="89">
        <v>79208939</v>
      </c>
      <c r="E2877" s="89">
        <v>48406234</v>
      </c>
      <c r="F2877" s="90">
        <v>12942537</v>
      </c>
      <c r="G2877" s="90">
        <v>11042169</v>
      </c>
      <c r="H2877" s="91">
        <v>6817997</v>
      </c>
    </row>
    <row r="2878" spans="1:8" ht="24" customHeight="1" thickBot="1" x14ac:dyDescent="0.2">
      <c r="A2878" s="253"/>
      <c r="B2878" s="7" t="s">
        <v>1742</v>
      </c>
      <c r="C2878" s="6">
        <v>6006</v>
      </c>
      <c r="D2878" s="92" t="s">
        <v>1743</v>
      </c>
      <c r="E2878" s="92" t="s">
        <v>54</v>
      </c>
      <c r="F2878" s="92" t="s">
        <v>54</v>
      </c>
      <c r="G2878" s="92" t="s">
        <v>54</v>
      </c>
      <c r="H2878" s="93" t="s">
        <v>54</v>
      </c>
    </row>
    <row r="2879" spans="1:8" ht="24" customHeight="1" x14ac:dyDescent="0.15">
      <c r="A2879" s="3" t="s">
        <v>1155</v>
      </c>
      <c r="B2879" s="2"/>
      <c r="C2879" s="2"/>
      <c r="D2879" s="2"/>
      <c r="E2879" s="2"/>
      <c r="F2879" s="2"/>
      <c r="G2879" s="2"/>
      <c r="H2879" s="2"/>
    </row>
    <row r="2880" spans="1:8" ht="24" customHeight="1" x14ac:dyDescent="0.15">
      <c r="A2880" s="3" t="s">
        <v>2587</v>
      </c>
      <c r="B2880" s="2"/>
      <c r="C2880" s="2"/>
      <c r="D2880" s="2"/>
      <c r="E2880" s="2"/>
      <c r="F2880" s="2"/>
      <c r="G2880" s="2"/>
      <c r="H2880" s="2"/>
    </row>
    <row r="2881" spans="1:8" ht="24" customHeight="1" x14ac:dyDescent="0.15">
      <c r="A2881" s="3" t="s">
        <v>1156</v>
      </c>
      <c r="B2881" s="2"/>
      <c r="C2881" s="2"/>
      <c r="D2881" s="2"/>
      <c r="E2881" s="2"/>
      <c r="F2881" s="2"/>
      <c r="G2881" s="2"/>
      <c r="H2881" s="2"/>
    </row>
    <row r="2882" spans="1:8" ht="24" customHeight="1" x14ac:dyDescent="0.15">
      <c r="A2882" s="3" t="s">
        <v>1744</v>
      </c>
      <c r="B2882" s="2"/>
      <c r="C2882" s="2"/>
      <c r="D2882" s="2"/>
      <c r="E2882" s="2"/>
      <c r="F2882" s="2"/>
      <c r="G2882" s="2"/>
      <c r="H2882" s="2"/>
    </row>
    <row r="2883" spans="1:8" ht="24" customHeight="1" x14ac:dyDescent="0.15">
      <c r="A2883" s="230" t="s">
        <v>1670</v>
      </c>
      <c r="B2883" s="230"/>
      <c r="C2883" s="230"/>
      <c r="D2883" s="230"/>
      <c r="E2883" s="230"/>
      <c r="F2883" s="230"/>
      <c r="G2883" s="230"/>
      <c r="H2883" s="230"/>
    </row>
    <row r="2884" spans="1:8" ht="24" customHeight="1" x14ac:dyDescent="0.15">
      <c r="A2884" s="231"/>
      <c r="B2884" s="231"/>
      <c r="C2884" s="231"/>
      <c r="D2884" s="231"/>
      <c r="E2884" s="231"/>
      <c r="F2884" s="231"/>
      <c r="G2884" s="231"/>
      <c r="H2884" s="231"/>
    </row>
    <row r="2885" spans="1:8" ht="24" customHeight="1" thickBot="1" x14ac:dyDescent="0.2">
      <c r="A2885" s="58" t="s">
        <v>1671</v>
      </c>
    </row>
    <row r="2886" spans="1:8" ht="24" customHeight="1" x14ac:dyDescent="0.15">
      <c r="A2886" s="232" t="s">
        <v>47</v>
      </c>
      <c r="B2886" s="235" t="s">
        <v>1672</v>
      </c>
      <c r="C2886" s="238" t="s">
        <v>45</v>
      </c>
      <c r="D2886" s="241" t="s">
        <v>44</v>
      </c>
      <c r="E2886" s="57"/>
      <c r="F2886" s="56"/>
      <c r="G2886" s="56"/>
      <c r="H2886" s="55"/>
    </row>
    <row r="2887" spans="1:8" ht="24" customHeight="1" x14ac:dyDescent="0.15">
      <c r="A2887" s="233"/>
      <c r="B2887" s="236"/>
      <c r="C2887" s="239"/>
      <c r="D2887" s="242"/>
      <c r="E2887" s="244" t="s">
        <v>43</v>
      </c>
      <c r="F2887" s="246" t="s">
        <v>1673</v>
      </c>
      <c r="G2887" s="246" t="s">
        <v>1674</v>
      </c>
      <c r="H2887" s="248" t="s">
        <v>40</v>
      </c>
    </row>
    <row r="2888" spans="1:8" ht="24" customHeight="1" thickBot="1" x14ac:dyDescent="0.2">
      <c r="A2888" s="234"/>
      <c r="B2888" s="237"/>
      <c r="C2888" s="240"/>
      <c r="D2888" s="243"/>
      <c r="E2888" s="245"/>
      <c r="F2888" s="247"/>
      <c r="G2888" s="247"/>
      <c r="H2888" s="249"/>
    </row>
    <row r="2889" spans="1:8" ht="24" customHeight="1" thickTop="1" x14ac:dyDescent="0.15">
      <c r="A2889" s="54"/>
      <c r="B2889" s="53"/>
      <c r="C2889" s="52"/>
      <c r="D2889" s="51" t="s">
        <v>1675</v>
      </c>
      <c r="E2889" s="50" t="s">
        <v>1676</v>
      </c>
      <c r="F2889" s="49" t="s">
        <v>1675</v>
      </c>
      <c r="G2889" s="49" t="s">
        <v>1677</v>
      </c>
      <c r="H2889" s="48" t="s">
        <v>1677</v>
      </c>
    </row>
    <row r="2890" spans="1:8" ht="24" customHeight="1" x14ac:dyDescent="0.15">
      <c r="A2890" s="250" t="s">
        <v>38</v>
      </c>
      <c r="B2890" s="61" t="s">
        <v>37</v>
      </c>
      <c r="C2890" s="62">
        <v>3742</v>
      </c>
      <c r="D2890" s="63">
        <v>682030504</v>
      </c>
      <c r="E2890" s="63">
        <v>254702503</v>
      </c>
      <c r="F2890" s="64">
        <v>209094229</v>
      </c>
      <c r="G2890" s="64">
        <v>213243459</v>
      </c>
      <c r="H2890" s="65">
        <v>4990311</v>
      </c>
    </row>
    <row r="2891" spans="1:8" ht="24" customHeight="1" x14ac:dyDescent="0.15">
      <c r="A2891" s="250"/>
      <c r="B2891" s="66" t="s">
        <v>1678</v>
      </c>
      <c r="C2891" s="67">
        <v>33</v>
      </c>
      <c r="D2891" s="68">
        <v>321944</v>
      </c>
      <c r="E2891" s="68">
        <v>88172</v>
      </c>
      <c r="F2891" s="69">
        <v>208068</v>
      </c>
      <c r="G2891" s="69">
        <v>25703</v>
      </c>
      <c r="H2891" s="70">
        <v>0</v>
      </c>
    </row>
    <row r="2892" spans="1:8" ht="24" customHeight="1" x14ac:dyDescent="0.15">
      <c r="A2892" s="250"/>
      <c r="B2892" s="66" t="s">
        <v>1679</v>
      </c>
      <c r="C2892" s="67">
        <v>97</v>
      </c>
      <c r="D2892" s="68">
        <v>0</v>
      </c>
      <c r="E2892" s="68">
        <v>0</v>
      </c>
      <c r="F2892" s="69">
        <v>0</v>
      </c>
      <c r="G2892" s="69">
        <v>0</v>
      </c>
      <c r="H2892" s="70">
        <v>0</v>
      </c>
    </row>
    <row r="2893" spans="1:8" ht="24" customHeight="1" x14ac:dyDescent="0.15">
      <c r="A2893" s="250"/>
      <c r="B2893" s="71" t="s">
        <v>1680</v>
      </c>
      <c r="C2893" s="72">
        <v>1</v>
      </c>
      <c r="D2893" s="73">
        <v>170044</v>
      </c>
      <c r="E2893" s="73">
        <v>128820</v>
      </c>
      <c r="F2893" s="74">
        <v>8454</v>
      </c>
      <c r="G2893" s="74">
        <v>31057</v>
      </c>
      <c r="H2893" s="75">
        <v>1711</v>
      </c>
    </row>
    <row r="2894" spans="1:8" ht="24" customHeight="1" x14ac:dyDescent="0.15">
      <c r="A2894" s="250"/>
      <c r="B2894" s="66" t="s">
        <v>1681</v>
      </c>
      <c r="C2894" s="67">
        <v>65</v>
      </c>
      <c r="D2894" s="68">
        <v>12694733</v>
      </c>
      <c r="E2894" s="68">
        <v>3498926</v>
      </c>
      <c r="F2894" s="69">
        <v>3241395</v>
      </c>
      <c r="G2894" s="69">
        <v>5890563</v>
      </c>
      <c r="H2894" s="70">
        <v>63847</v>
      </c>
    </row>
    <row r="2895" spans="1:8" ht="24" customHeight="1" x14ac:dyDescent="0.15">
      <c r="A2895" s="250"/>
      <c r="B2895" s="76" t="s">
        <v>32</v>
      </c>
      <c r="C2895" s="67">
        <v>183</v>
      </c>
      <c r="D2895" s="68">
        <v>35159600</v>
      </c>
      <c r="E2895" s="68">
        <v>3717634</v>
      </c>
      <c r="F2895" s="69">
        <v>1450987</v>
      </c>
      <c r="G2895" s="69">
        <v>29950977</v>
      </c>
      <c r="H2895" s="70">
        <v>40001</v>
      </c>
    </row>
    <row r="2896" spans="1:8" ht="24" customHeight="1" x14ac:dyDescent="0.15">
      <c r="A2896" s="251"/>
      <c r="B2896" s="77" t="s">
        <v>31</v>
      </c>
      <c r="C2896" s="72">
        <v>40</v>
      </c>
      <c r="D2896" s="73">
        <v>228308</v>
      </c>
      <c r="E2896" s="73">
        <v>202470</v>
      </c>
      <c r="F2896" s="74">
        <v>1810</v>
      </c>
      <c r="G2896" s="74">
        <v>23531</v>
      </c>
      <c r="H2896" s="75">
        <v>497</v>
      </c>
    </row>
    <row r="2897" spans="1:8" ht="24" customHeight="1" x14ac:dyDescent="0.15">
      <c r="A2897" s="30" t="s">
        <v>30</v>
      </c>
      <c r="B2897" s="78" t="s">
        <v>29</v>
      </c>
      <c r="C2897" s="79">
        <v>31</v>
      </c>
      <c r="D2897" s="80">
        <v>114404</v>
      </c>
      <c r="E2897" s="80">
        <v>111774</v>
      </c>
      <c r="F2897" s="81">
        <v>1155</v>
      </c>
      <c r="G2897" s="81">
        <v>612</v>
      </c>
      <c r="H2897" s="82">
        <v>861</v>
      </c>
    </row>
    <row r="2898" spans="1:8" ht="24" customHeight="1" x14ac:dyDescent="0.15">
      <c r="A2898" s="252" t="s">
        <v>28</v>
      </c>
      <c r="B2898" s="17" t="s">
        <v>1682</v>
      </c>
      <c r="C2898" s="16">
        <v>3148</v>
      </c>
      <c r="D2898" s="83">
        <v>61379196</v>
      </c>
      <c r="E2898" s="83">
        <v>9508552</v>
      </c>
      <c r="F2898" s="84">
        <v>10808359</v>
      </c>
      <c r="G2898" s="84">
        <v>33124641</v>
      </c>
      <c r="H2898" s="85">
        <v>7937643</v>
      </c>
    </row>
    <row r="2899" spans="1:8" ht="24" customHeight="1" x14ac:dyDescent="0.15">
      <c r="A2899" s="250"/>
      <c r="B2899" s="23" t="s">
        <v>26</v>
      </c>
      <c r="C2899" s="22">
        <v>3119</v>
      </c>
      <c r="D2899" s="86">
        <v>14371256</v>
      </c>
      <c r="E2899" s="86">
        <v>597029</v>
      </c>
      <c r="F2899" s="87">
        <v>3932717</v>
      </c>
      <c r="G2899" s="87">
        <v>8069361</v>
      </c>
      <c r="H2899" s="88">
        <v>1772147</v>
      </c>
    </row>
    <row r="2900" spans="1:8" ht="24" customHeight="1" x14ac:dyDescent="0.15">
      <c r="A2900" s="250"/>
      <c r="B2900" s="24" t="s">
        <v>25</v>
      </c>
      <c r="C2900" s="22">
        <v>627</v>
      </c>
      <c r="D2900" s="86">
        <v>31616440</v>
      </c>
      <c r="E2900" s="86">
        <v>2143626</v>
      </c>
      <c r="F2900" s="87">
        <v>8845822</v>
      </c>
      <c r="G2900" s="87">
        <v>15609163</v>
      </c>
      <c r="H2900" s="88">
        <v>5017827</v>
      </c>
    </row>
    <row r="2901" spans="1:8" ht="24" customHeight="1" x14ac:dyDescent="0.15">
      <c r="A2901" s="250"/>
      <c r="B2901" s="23" t="s">
        <v>1683</v>
      </c>
      <c r="C2901" s="22">
        <v>1702</v>
      </c>
      <c r="D2901" s="86">
        <v>50048900</v>
      </c>
      <c r="E2901" s="86">
        <v>4859235</v>
      </c>
      <c r="F2901" s="87">
        <v>9686037</v>
      </c>
      <c r="G2901" s="87">
        <v>31182525</v>
      </c>
      <c r="H2901" s="88">
        <v>4321101</v>
      </c>
    </row>
    <row r="2902" spans="1:8" ht="24" customHeight="1" x14ac:dyDescent="0.15">
      <c r="A2902" s="250"/>
      <c r="B2902" s="23" t="s">
        <v>1684</v>
      </c>
      <c r="C2902" s="22">
        <v>322</v>
      </c>
      <c r="D2902" s="86">
        <v>4434161</v>
      </c>
      <c r="E2902" s="86">
        <v>296704</v>
      </c>
      <c r="F2902" s="87">
        <v>104287</v>
      </c>
      <c r="G2902" s="87">
        <v>3986968</v>
      </c>
      <c r="H2902" s="88">
        <v>46200</v>
      </c>
    </row>
    <row r="2903" spans="1:8" ht="24" customHeight="1" x14ac:dyDescent="0.15">
      <c r="A2903" s="250"/>
      <c r="B2903" s="23" t="s">
        <v>22</v>
      </c>
      <c r="C2903" s="22">
        <v>122</v>
      </c>
      <c r="D2903" s="86">
        <v>1133600</v>
      </c>
      <c r="E2903" s="86">
        <v>274800</v>
      </c>
      <c r="F2903" s="87">
        <v>85900</v>
      </c>
      <c r="G2903" s="87">
        <v>492280</v>
      </c>
      <c r="H2903" s="88">
        <v>280620</v>
      </c>
    </row>
    <row r="2904" spans="1:8" ht="24" customHeight="1" x14ac:dyDescent="0.15">
      <c r="A2904" s="250"/>
      <c r="B2904" s="23" t="s">
        <v>1685</v>
      </c>
      <c r="C2904" s="22">
        <v>28</v>
      </c>
      <c r="D2904" s="86">
        <v>227421</v>
      </c>
      <c r="E2904" s="86">
        <v>122487</v>
      </c>
      <c r="F2904" s="87">
        <v>14710</v>
      </c>
      <c r="G2904" s="87">
        <v>49105</v>
      </c>
      <c r="H2904" s="88">
        <v>41119</v>
      </c>
    </row>
    <row r="2905" spans="1:8" ht="24" customHeight="1" x14ac:dyDescent="0.15">
      <c r="A2905" s="250"/>
      <c r="B2905" s="23" t="s">
        <v>1686</v>
      </c>
      <c r="C2905" s="22">
        <v>0</v>
      </c>
      <c r="D2905" s="86">
        <v>0</v>
      </c>
      <c r="E2905" s="86">
        <v>0</v>
      </c>
      <c r="F2905" s="87">
        <v>0</v>
      </c>
      <c r="G2905" s="87">
        <v>0</v>
      </c>
      <c r="H2905" s="88">
        <v>0</v>
      </c>
    </row>
    <row r="2906" spans="1:8" ht="24" customHeight="1" x14ac:dyDescent="0.15">
      <c r="A2906" s="250"/>
      <c r="B2906" s="23" t="s">
        <v>1687</v>
      </c>
      <c r="C2906" s="22">
        <v>243</v>
      </c>
      <c r="D2906" s="86">
        <v>8539690</v>
      </c>
      <c r="E2906" s="86">
        <v>803120</v>
      </c>
      <c r="F2906" s="87">
        <v>2771060</v>
      </c>
      <c r="G2906" s="87">
        <v>3286210</v>
      </c>
      <c r="H2906" s="88">
        <v>1679300</v>
      </c>
    </row>
    <row r="2907" spans="1:8" ht="24" customHeight="1" x14ac:dyDescent="0.15">
      <c r="A2907" s="250"/>
      <c r="B2907" s="23" t="s">
        <v>1688</v>
      </c>
      <c r="C2907" s="22">
        <v>3181</v>
      </c>
      <c r="D2907" s="86">
        <v>61930499</v>
      </c>
      <c r="E2907" s="86">
        <v>13934872</v>
      </c>
      <c r="F2907" s="87">
        <v>9769639</v>
      </c>
      <c r="G2907" s="87">
        <v>31286005</v>
      </c>
      <c r="H2907" s="88">
        <v>6939981</v>
      </c>
    </row>
    <row r="2908" spans="1:8" ht="24" customHeight="1" x14ac:dyDescent="0.15">
      <c r="A2908" s="250"/>
      <c r="B2908" s="23" t="s">
        <v>17</v>
      </c>
      <c r="C2908" s="22">
        <v>607</v>
      </c>
      <c r="D2908" s="86">
        <v>14718460</v>
      </c>
      <c r="E2908" s="86">
        <v>2422609</v>
      </c>
      <c r="F2908" s="87">
        <v>2747375</v>
      </c>
      <c r="G2908" s="87">
        <v>8153409</v>
      </c>
      <c r="H2908" s="88">
        <v>1395066</v>
      </c>
    </row>
    <row r="2909" spans="1:8" ht="24" customHeight="1" x14ac:dyDescent="0.15">
      <c r="A2909" s="250"/>
      <c r="B2909" s="23" t="s">
        <v>1689</v>
      </c>
      <c r="C2909" s="22">
        <v>51590</v>
      </c>
      <c r="D2909" s="86">
        <v>13155850</v>
      </c>
      <c r="E2909" s="86">
        <v>1020991</v>
      </c>
      <c r="F2909" s="87">
        <v>5596506</v>
      </c>
      <c r="G2909" s="87">
        <v>6173202</v>
      </c>
      <c r="H2909" s="88">
        <v>365150</v>
      </c>
    </row>
    <row r="2910" spans="1:8" ht="24" customHeight="1" x14ac:dyDescent="0.15">
      <c r="A2910" s="250"/>
      <c r="B2910" s="23" t="s">
        <v>1690</v>
      </c>
      <c r="C2910" s="22">
        <v>546</v>
      </c>
      <c r="D2910" s="86">
        <v>1519861</v>
      </c>
      <c r="E2910" s="86">
        <v>41921</v>
      </c>
      <c r="F2910" s="87">
        <v>1080574</v>
      </c>
      <c r="G2910" s="87">
        <v>397366</v>
      </c>
      <c r="H2910" s="88">
        <v>0</v>
      </c>
    </row>
    <row r="2911" spans="1:8" ht="24" customHeight="1" x14ac:dyDescent="0.15">
      <c r="A2911" s="250"/>
      <c r="B2911" s="23" t="s">
        <v>14</v>
      </c>
      <c r="C2911" s="22">
        <v>48</v>
      </c>
      <c r="D2911" s="86">
        <v>238300</v>
      </c>
      <c r="E2911" s="86">
        <v>103447</v>
      </c>
      <c r="F2911" s="87">
        <v>17900</v>
      </c>
      <c r="G2911" s="87">
        <v>86752</v>
      </c>
      <c r="H2911" s="88">
        <v>30201</v>
      </c>
    </row>
    <row r="2912" spans="1:8" ht="24" customHeight="1" x14ac:dyDescent="0.15">
      <c r="A2912" s="250"/>
      <c r="B2912" s="23" t="s">
        <v>1691</v>
      </c>
      <c r="C2912" s="22">
        <v>455</v>
      </c>
      <c r="D2912" s="86">
        <v>2382122</v>
      </c>
      <c r="E2912" s="86">
        <v>180673</v>
      </c>
      <c r="F2912" s="87">
        <v>1173853</v>
      </c>
      <c r="G2912" s="87">
        <v>969475</v>
      </c>
      <c r="H2912" s="88">
        <v>58120</v>
      </c>
    </row>
    <row r="2913" spans="1:8" ht="24" customHeight="1" x14ac:dyDescent="0.15">
      <c r="A2913" s="250"/>
      <c r="B2913" s="23" t="s">
        <v>12</v>
      </c>
      <c r="C2913" s="22">
        <v>299</v>
      </c>
      <c r="D2913" s="86">
        <v>8415000</v>
      </c>
      <c r="E2913" s="86">
        <v>793670</v>
      </c>
      <c r="F2913" s="87">
        <v>1605400</v>
      </c>
      <c r="G2913" s="87">
        <v>5411500</v>
      </c>
      <c r="H2913" s="88">
        <v>604430</v>
      </c>
    </row>
    <row r="2914" spans="1:8" ht="24" customHeight="1" x14ac:dyDescent="0.15">
      <c r="A2914" s="250"/>
      <c r="B2914" s="23" t="s">
        <v>1692</v>
      </c>
      <c r="C2914" s="22">
        <v>48</v>
      </c>
      <c r="D2914" s="86">
        <v>1812600</v>
      </c>
      <c r="E2914" s="86">
        <v>166500</v>
      </c>
      <c r="F2914" s="87">
        <v>627700</v>
      </c>
      <c r="G2914" s="87">
        <v>864500</v>
      </c>
      <c r="H2914" s="88">
        <v>153900</v>
      </c>
    </row>
    <row r="2915" spans="1:8" ht="24" customHeight="1" x14ac:dyDescent="0.15">
      <c r="A2915" s="250"/>
      <c r="B2915" s="23" t="s">
        <v>10</v>
      </c>
      <c r="C2915" s="22">
        <v>0</v>
      </c>
      <c r="D2915" s="86">
        <v>0</v>
      </c>
      <c r="E2915" s="86">
        <v>0</v>
      </c>
      <c r="F2915" s="87">
        <v>0</v>
      </c>
      <c r="G2915" s="87">
        <v>0</v>
      </c>
      <c r="H2915" s="88">
        <v>0</v>
      </c>
    </row>
    <row r="2916" spans="1:8" ht="24" customHeight="1" x14ac:dyDescent="0.15">
      <c r="A2916" s="250"/>
      <c r="B2916" s="23" t="s">
        <v>9</v>
      </c>
      <c r="C2916" s="22">
        <v>3</v>
      </c>
      <c r="D2916" s="86">
        <v>10800</v>
      </c>
      <c r="E2916" s="86">
        <v>0</v>
      </c>
      <c r="F2916" s="87">
        <v>0</v>
      </c>
      <c r="G2916" s="87">
        <v>10800</v>
      </c>
      <c r="H2916" s="88">
        <v>0</v>
      </c>
    </row>
    <row r="2917" spans="1:8" ht="24" customHeight="1" x14ac:dyDescent="0.15">
      <c r="A2917" s="250"/>
      <c r="B2917" s="23" t="s">
        <v>1693</v>
      </c>
      <c r="C2917" s="22">
        <v>1</v>
      </c>
      <c r="D2917" s="86">
        <v>3000</v>
      </c>
      <c r="E2917" s="86">
        <v>100</v>
      </c>
      <c r="F2917" s="87">
        <v>0</v>
      </c>
      <c r="G2917" s="87">
        <v>2100</v>
      </c>
      <c r="H2917" s="88">
        <v>800</v>
      </c>
    </row>
    <row r="2918" spans="1:8" ht="24" customHeight="1" x14ac:dyDescent="0.15">
      <c r="A2918" s="251"/>
      <c r="B2918" s="23" t="s">
        <v>1694</v>
      </c>
      <c r="C2918" s="22">
        <v>18</v>
      </c>
      <c r="D2918" s="86">
        <v>10081</v>
      </c>
      <c r="E2918" s="86">
        <v>466</v>
      </c>
      <c r="F2918" s="87">
        <v>8000</v>
      </c>
      <c r="G2918" s="87">
        <v>1615</v>
      </c>
      <c r="H2918" s="88">
        <v>0</v>
      </c>
    </row>
    <row r="2919" spans="1:8" ht="24" customHeight="1" x14ac:dyDescent="0.15">
      <c r="A2919" s="18" t="s">
        <v>6</v>
      </c>
      <c r="B2919" s="17" t="s">
        <v>1695</v>
      </c>
      <c r="C2919" s="16">
        <v>3268</v>
      </c>
      <c r="D2919" s="80">
        <v>19381300</v>
      </c>
      <c r="E2919" s="80">
        <v>823500</v>
      </c>
      <c r="F2919" s="81">
        <v>8754890</v>
      </c>
      <c r="G2919" s="81">
        <v>6542610</v>
      </c>
      <c r="H2919" s="82">
        <v>3260300</v>
      </c>
    </row>
    <row r="2920" spans="1:8" ht="24" customHeight="1" x14ac:dyDescent="0.15">
      <c r="A2920" s="252" t="s">
        <v>4</v>
      </c>
      <c r="B2920" s="12" t="s">
        <v>3</v>
      </c>
      <c r="C2920" s="11">
        <v>5962</v>
      </c>
      <c r="D2920" s="89">
        <v>78175846</v>
      </c>
      <c r="E2920" s="89">
        <v>47762888</v>
      </c>
      <c r="F2920" s="90">
        <v>12775920</v>
      </c>
      <c r="G2920" s="90">
        <v>10925767</v>
      </c>
      <c r="H2920" s="91">
        <v>6711270</v>
      </c>
    </row>
    <row r="2921" spans="1:8" ht="24" customHeight="1" thickBot="1" x14ac:dyDescent="0.2">
      <c r="A2921" s="253"/>
      <c r="B2921" s="7" t="s">
        <v>1153</v>
      </c>
      <c r="C2921" s="6">
        <v>5921</v>
      </c>
      <c r="D2921" s="92" t="s">
        <v>1696</v>
      </c>
      <c r="E2921" s="92" t="s">
        <v>54</v>
      </c>
      <c r="F2921" s="92" t="s">
        <v>54</v>
      </c>
      <c r="G2921" s="92" t="s">
        <v>54</v>
      </c>
      <c r="H2921" s="93" t="s">
        <v>54</v>
      </c>
    </row>
    <row r="2922" spans="1:8" ht="12" x14ac:dyDescent="0.15">
      <c r="A2922" s="3" t="s">
        <v>1697</v>
      </c>
      <c r="B2922" s="2"/>
      <c r="C2922" s="2"/>
      <c r="D2922" s="2"/>
      <c r="E2922" s="2"/>
      <c r="F2922" s="2"/>
      <c r="G2922" s="2"/>
      <c r="H2922" s="2"/>
    </row>
    <row r="2923" spans="1:8" ht="18" customHeight="1" x14ac:dyDescent="0.15">
      <c r="A2923" s="3" t="s">
        <v>2587</v>
      </c>
      <c r="B2923" s="2"/>
      <c r="C2923" s="2"/>
      <c r="D2923" s="2"/>
      <c r="E2923" s="2"/>
      <c r="F2923" s="2"/>
      <c r="G2923" s="2"/>
      <c r="H2923" s="2"/>
    </row>
    <row r="2924" spans="1:8" ht="18" customHeight="1" x14ac:dyDescent="0.15">
      <c r="A2924" s="3" t="s">
        <v>1156</v>
      </c>
      <c r="B2924" s="2"/>
      <c r="C2924" s="2"/>
      <c r="D2924" s="2"/>
      <c r="E2924" s="2"/>
      <c r="F2924" s="2"/>
      <c r="G2924" s="2"/>
      <c r="H2924" s="2"/>
    </row>
    <row r="2925" spans="1:8" ht="12" x14ac:dyDescent="0.15">
      <c r="A2925" s="3" t="s">
        <v>1698</v>
      </c>
      <c r="B2925" s="2"/>
      <c r="C2925" s="2"/>
      <c r="D2925" s="2"/>
      <c r="E2925" s="2"/>
      <c r="F2925" s="2"/>
      <c r="G2925" s="2"/>
      <c r="H2925" s="2"/>
    </row>
    <row r="2926" spans="1:8" ht="18" customHeight="1" x14ac:dyDescent="0.15">
      <c r="A2926" s="230" t="s">
        <v>1626</v>
      </c>
      <c r="B2926" s="230"/>
      <c r="C2926" s="230"/>
      <c r="D2926" s="230"/>
      <c r="E2926" s="230"/>
      <c r="F2926" s="230"/>
      <c r="G2926" s="230"/>
      <c r="H2926" s="230"/>
    </row>
    <row r="2927" spans="1:8" ht="18" customHeight="1" x14ac:dyDescent="0.15">
      <c r="A2927" s="231"/>
      <c r="B2927" s="231"/>
      <c r="C2927" s="231"/>
      <c r="D2927" s="231"/>
      <c r="E2927" s="231"/>
      <c r="F2927" s="231"/>
      <c r="G2927" s="231"/>
      <c r="H2927" s="231"/>
    </row>
    <row r="2928" spans="1:8" ht="18" customHeight="1" thickBot="1" x14ac:dyDescent="0.2">
      <c r="A2928" s="58" t="s">
        <v>1627</v>
      </c>
    </row>
    <row r="2929" spans="1:8" ht="18" customHeight="1" x14ac:dyDescent="0.15">
      <c r="A2929" s="232" t="s">
        <v>1628</v>
      </c>
      <c r="B2929" s="235" t="s">
        <v>1629</v>
      </c>
      <c r="C2929" s="238" t="s">
        <v>1630</v>
      </c>
      <c r="D2929" s="241" t="s">
        <v>1631</v>
      </c>
      <c r="E2929" s="57"/>
      <c r="F2929" s="56"/>
      <c r="G2929" s="56"/>
      <c r="H2929" s="55"/>
    </row>
    <row r="2930" spans="1:8" ht="18" customHeight="1" x14ac:dyDescent="0.15">
      <c r="A2930" s="233"/>
      <c r="B2930" s="236"/>
      <c r="C2930" s="239"/>
      <c r="D2930" s="242"/>
      <c r="E2930" s="244" t="s">
        <v>1632</v>
      </c>
      <c r="F2930" s="246" t="s">
        <v>1633</v>
      </c>
      <c r="G2930" s="246" t="s">
        <v>1634</v>
      </c>
      <c r="H2930" s="248" t="s">
        <v>1635</v>
      </c>
    </row>
    <row r="2931" spans="1:8" ht="18" customHeight="1" thickBot="1" x14ac:dyDescent="0.2">
      <c r="A2931" s="234"/>
      <c r="B2931" s="237"/>
      <c r="C2931" s="240"/>
      <c r="D2931" s="243"/>
      <c r="E2931" s="245"/>
      <c r="F2931" s="247"/>
      <c r="G2931" s="247"/>
      <c r="H2931" s="249"/>
    </row>
    <row r="2932" spans="1:8" ht="18" customHeight="1" thickTop="1" x14ac:dyDescent="0.15">
      <c r="A2932" s="54"/>
      <c r="B2932" s="53"/>
      <c r="C2932" s="52"/>
      <c r="D2932" s="51" t="s">
        <v>39</v>
      </c>
      <c r="E2932" s="50" t="s">
        <v>39</v>
      </c>
      <c r="F2932" s="49" t="s">
        <v>1636</v>
      </c>
      <c r="G2932" s="49" t="s">
        <v>1636</v>
      </c>
      <c r="H2932" s="48" t="s">
        <v>1636</v>
      </c>
    </row>
    <row r="2933" spans="1:8" ht="18" customHeight="1" x14ac:dyDescent="0.15">
      <c r="A2933" s="250" t="s">
        <v>1637</v>
      </c>
      <c r="B2933" s="61" t="s">
        <v>1638</v>
      </c>
      <c r="C2933" s="62">
        <v>3744</v>
      </c>
      <c r="D2933" s="63">
        <v>688059526</v>
      </c>
      <c r="E2933" s="63">
        <v>255971779</v>
      </c>
      <c r="F2933" s="64">
        <v>212329440</v>
      </c>
      <c r="G2933" s="64">
        <v>214871897</v>
      </c>
      <c r="H2933" s="65">
        <v>4886408</v>
      </c>
    </row>
    <row r="2934" spans="1:8" ht="18" customHeight="1" x14ac:dyDescent="0.15">
      <c r="A2934" s="250"/>
      <c r="B2934" s="66" t="s">
        <v>1639</v>
      </c>
      <c r="C2934" s="67">
        <v>35</v>
      </c>
      <c r="D2934" s="68">
        <v>320135</v>
      </c>
      <c r="E2934" s="68">
        <v>90695</v>
      </c>
      <c r="F2934" s="69">
        <v>203884</v>
      </c>
      <c r="G2934" s="69">
        <v>25554</v>
      </c>
      <c r="H2934" s="70">
        <v>0</v>
      </c>
    </row>
    <row r="2935" spans="1:8" ht="18" customHeight="1" x14ac:dyDescent="0.15">
      <c r="A2935" s="250"/>
      <c r="B2935" s="66" t="s">
        <v>35</v>
      </c>
      <c r="C2935" s="67">
        <v>94</v>
      </c>
      <c r="D2935" s="68">
        <v>0</v>
      </c>
      <c r="E2935" s="68">
        <v>0</v>
      </c>
      <c r="F2935" s="69">
        <v>0</v>
      </c>
      <c r="G2935" s="69">
        <v>0</v>
      </c>
      <c r="H2935" s="70">
        <v>0</v>
      </c>
    </row>
    <row r="2936" spans="1:8" ht="18" customHeight="1" x14ac:dyDescent="0.15">
      <c r="A2936" s="250"/>
      <c r="B2936" s="71" t="s">
        <v>1640</v>
      </c>
      <c r="C2936" s="72">
        <v>1</v>
      </c>
      <c r="D2936" s="73">
        <v>170185</v>
      </c>
      <c r="E2936" s="73">
        <v>128906</v>
      </c>
      <c r="F2936" s="74">
        <v>8482</v>
      </c>
      <c r="G2936" s="74">
        <v>31083</v>
      </c>
      <c r="H2936" s="75">
        <v>1713</v>
      </c>
    </row>
    <row r="2937" spans="1:8" ht="18" customHeight="1" x14ac:dyDescent="0.15">
      <c r="A2937" s="250"/>
      <c r="B2937" s="66" t="s">
        <v>1641</v>
      </c>
      <c r="C2937" s="67">
        <v>64</v>
      </c>
      <c r="D2937" s="68">
        <v>12730940</v>
      </c>
      <c r="E2937" s="68">
        <v>3457872</v>
      </c>
      <c r="F2937" s="69">
        <v>3309367</v>
      </c>
      <c r="G2937" s="69">
        <v>5879039</v>
      </c>
      <c r="H2937" s="70">
        <v>84661</v>
      </c>
    </row>
    <row r="2938" spans="1:8" ht="18" customHeight="1" x14ac:dyDescent="0.15">
      <c r="A2938" s="250"/>
      <c r="B2938" s="76" t="s">
        <v>1642</v>
      </c>
      <c r="C2938" s="67">
        <v>183</v>
      </c>
      <c r="D2938" s="68">
        <v>34784551</v>
      </c>
      <c r="E2938" s="68">
        <v>3658324</v>
      </c>
      <c r="F2938" s="69">
        <v>1407240</v>
      </c>
      <c r="G2938" s="69">
        <v>29671881</v>
      </c>
      <c r="H2938" s="70">
        <v>47104</v>
      </c>
    </row>
    <row r="2939" spans="1:8" ht="18" customHeight="1" x14ac:dyDescent="0.15">
      <c r="A2939" s="251"/>
      <c r="B2939" s="77" t="s">
        <v>1643</v>
      </c>
      <c r="C2939" s="72">
        <v>40</v>
      </c>
      <c r="D2939" s="73">
        <v>224217</v>
      </c>
      <c r="E2939" s="73">
        <v>198707</v>
      </c>
      <c r="F2939" s="74">
        <v>2322</v>
      </c>
      <c r="G2939" s="74">
        <v>22690</v>
      </c>
      <c r="H2939" s="75">
        <v>497</v>
      </c>
    </row>
    <row r="2940" spans="1:8" ht="18" customHeight="1" x14ac:dyDescent="0.15">
      <c r="A2940" s="30" t="s">
        <v>30</v>
      </c>
      <c r="B2940" s="78" t="s">
        <v>1644</v>
      </c>
      <c r="C2940" s="79">
        <v>31</v>
      </c>
      <c r="D2940" s="80">
        <v>101981</v>
      </c>
      <c r="E2940" s="80">
        <v>98976</v>
      </c>
      <c r="F2940" s="81">
        <v>1790</v>
      </c>
      <c r="G2940" s="81">
        <v>478</v>
      </c>
      <c r="H2940" s="82">
        <v>735</v>
      </c>
    </row>
    <row r="2941" spans="1:8" ht="18" customHeight="1" x14ac:dyDescent="0.15">
      <c r="A2941" s="252" t="s">
        <v>1645</v>
      </c>
      <c r="B2941" s="17" t="s">
        <v>1646</v>
      </c>
      <c r="C2941" s="16">
        <v>3138</v>
      </c>
      <c r="D2941" s="83">
        <v>61218096</v>
      </c>
      <c r="E2941" s="83">
        <v>9427893</v>
      </c>
      <c r="F2941" s="84">
        <v>10657548</v>
      </c>
      <c r="G2941" s="84">
        <v>33225983</v>
      </c>
      <c r="H2941" s="85">
        <v>7906670</v>
      </c>
    </row>
    <row r="2942" spans="1:8" ht="18" customHeight="1" x14ac:dyDescent="0.15">
      <c r="A2942" s="250"/>
      <c r="B2942" s="23" t="s">
        <v>26</v>
      </c>
      <c r="C2942" s="22">
        <v>3120</v>
      </c>
      <c r="D2942" s="86">
        <v>14381463</v>
      </c>
      <c r="E2942" s="86">
        <v>614935</v>
      </c>
      <c r="F2942" s="87">
        <v>3848636</v>
      </c>
      <c r="G2942" s="87">
        <v>8138224</v>
      </c>
      <c r="H2942" s="88">
        <v>1779667</v>
      </c>
    </row>
    <row r="2943" spans="1:8" ht="18" customHeight="1" x14ac:dyDescent="0.15">
      <c r="A2943" s="250"/>
      <c r="B2943" s="24" t="s">
        <v>1647</v>
      </c>
      <c r="C2943" s="22">
        <v>625</v>
      </c>
      <c r="D2943" s="86">
        <v>31831440</v>
      </c>
      <c r="E2943" s="86">
        <v>2119850</v>
      </c>
      <c r="F2943" s="87">
        <v>8672513</v>
      </c>
      <c r="G2943" s="87">
        <v>15709910</v>
      </c>
      <c r="H2943" s="88">
        <v>5329165</v>
      </c>
    </row>
    <row r="2944" spans="1:8" ht="13.5" x14ac:dyDescent="0.15">
      <c r="A2944" s="250"/>
      <c r="B2944" s="23" t="s">
        <v>1648</v>
      </c>
      <c r="C2944" s="22">
        <v>1689</v>
      </c>
      <c r="D2944" s="86">
        <v>49596700</v>
      </c>
      <c r="E2944" s="86">
        <v>4806251</v>
      </c>
      <c r="F2944" s="87">
        <v>9458091</v>
      </c>
      <c r="G2944" s="87">
        <v>31041355</v>
      </c>
      <c r="H2944" s="88">
        <v>4291001</v>
      </c>
    </row>
    <row r="2945" spans="1:8" ht="18" customHeight="1" x14ac:dyDescent="0.15">
      <c r="A2945" s="250"/>
      <c r="B2945" s="23" t="s">
        <v>1649</v>
      </c>
      <c r="C2945" s="22">
        <v>316</v>
      </c>
      <c r="D2945" s="86">
        <v>4384661</v>
      </c>
      <c r="E2945" s="86">
        <v>294704</v>
      </c>
      <c r="F2945" s="87">
        <v>104528</v>
      </c>
      <c r="G2945" s="87">
        <v>3939599</v>
      </c>
      <c r="H2945" s="88">
        <v>45828</v>
      </c>
    </row>
    <row r="2946" spans="1:8" ht="18" customHeight="1" x14ac:dyDescent="0.15">
      <c r="A2946" s="250"/>
      <c r="B2946" s="23" t="s">
        <v>22</v>
      </c>
      <c r="C2946" s="22">
        <v>123</v>
      </c>
      <c r="D2946" s="86">
        <v>1143600</v>
      </c>
      <c r="E2946" s="86">
        <v>279000</v>
      </c>
      <c r="F2946" s="87">
        <v>85900</v>
      </c>
      <c r="G2946" s="87">
        <v>494880</v>
      </c>
      <c r="H2946" s="88">
        <v>283820</v>
      </c>
    </row>
    <row r="2947" spans="1:8" ht="18" customHeight="1" x14ac:dyDescent="0.15">
      <c r="A2947" s="250"/>
      <c r="B2947" s="23" t="s">
        <v>1650</v>
      </c>
      <c r="C2947" s="22">
        <v>28</v>
      </c>
      <c r="D2947" s="86">
        <v>227421</v>
      </c>
      <c r="E2947" s="86">
        <v>122487</v>
      </c>
      <c r="F2947" s="87">
        <v>14710</v>
      </c>
      <c r="G2947" s="87">
        <v>49105</v>
      </c>
      <c r="H2947" s="88">
        <v>41119</v>
      </c>
    </row>
    <row r="2948" spans="1:8" ht="18" customHeight="1" x14ac:dyDescent="0.15">
      <c r="A2948" s="250"/>
      <c r="B2948" s="23" t="s">
        <v>1651</v>
      </c>
      <c r="C2948" s="22">
        <v>0</v>
      </c>
      <c r="D2948" s="86">
        <v>0</v>
      </c>
      <c r="E2948" s="86">
        <v>0</v>
      </c>
      <c r="F2948" s="87">
        <v>0</v>
      </c>
      <c r="G2948" s="87">
        <v>0</v>
      </c>
      <c r="H2948" s="88">
        <v>0</v>
      </c>
    </row>
    <row r="2949" spans="1:8" ht="18" customHeight="1" x14ac:dyDescent="0.15">
      <c r="A2949" s="250"/>
      <c r="B2949" s="23" t="s">
        <v>1652</v>
      </c>
      <c r="C2949" s="22">
        <v>243</v>
      </c>
      <c r="D2949" s="86">
        <v>8597770</v>
      </c>
      <c r="E2949" s="86">
        <v>803260</v>
      </c>
      <c r="F2949" s="87">
        <v>2765970</v>
      </c>
      <c r="G2949" s="87">
        <v>3284540</v>
      </c>
      <c r="H2949" s="88">
        <v>1744000</v>
      </c>
    </row>
    <row r="2950" spans="1:8" ht="13.5" x14ac:dyDescent="0.15">
      <c r="A2950" s="250"/>
      <c r="B2950" s="23" t="s">
        <v>1653</v>
      </c>
      <c r="C2950" s="22">
        <v>3171</v>
      </c>
      <c r="D2950" s="86">
        <v>61883188</v>
      </c>
      <c r="E2950" s="86">
        <v>13913715</v>
      </c>
      <c r="F2950" s="87">
        <v>9669182</v>
      </c>
      <c r="G2950" s="87">
        <v>31361391</v>
      </c>
      <c r="H2950" s="88">
        <v>6938898</v>
      </c>
    </row>
    <row r="2951" spans="1:8" ht="18" customHeight="1" x14ac:dyDescent="0.15">
      <c r="A2951" s="250"/>
      <c r="B2951" s="23" t="s">
        <v>1654</v>
      </c>
      <c r="C2951" s="22">
        <v>609</v>
      </c>
      <c r="D2951" s="86">
        <v>14748460</v>
      </c>
      <c r="E2951" s="86">
        <v>2419937</v>
      </c>
      <c r="F2951" s="87">
        <v>2729327</v>
      </c>
      <c r="G2951" s="87">
        <v>8190459</v>
      </c>
      <c r="H2951" s="88">
        <v>1408736</v>
      </c>
    </row>
    <row r="2952" spans="1:8" ht="18" customHeight="1" x14ac:dyDescent="0.15">
      <c r="A2952" s="250"/>
      <c r="B2952" s="23" t="s">
        <v>1655</v>
      </c>
      <c r="C2952" s="22">
        <v>51205</v>
      </c>
      <c r="D2952" s="86">
        <v>13073884</v>
      </c>
      <c r="E2952" s="86">
        <v>976291</v>
      </c>
      <c r="F2952" s="87">
        <v>5594736</v>
      </c>
      <c r="G2952" s="87">
        <v>6139096</v>
      </c>
      <c r="H2952" s="88">
        <v>363760</v>
      </c>
    </row>
    <row r="2953" spans="1:8" ht="18" customHeight="1" x14ac:dyDescent="0.15">
      <c r="A2953" s="250"/>
      <c r="B2953" s="23" t="s">
        <v>15</v>
      </c>
      <c r="C2953" s="22">
        <v>548</v>
      </c>
      <c r="D2953" s="86">
        <v>1527761</v>
      </c>
      <c r="E2953" s="86">
        <v>41921</v>
      </c>
      <c r="F2953" s="87">
        <v>1090474</v>
      </c>
      <c r="G2953" s="87">
        <v>395366</v>
      </c>
      <c r="H2953" s="88">
        <v>0</v>
      </c>
    </row>
    <row r="2954" spans="1:8" ht="18" customHeight="1" x14ac:dyDescent="0.15">
      <c r="A2954" s="250"/>
      <c r="B2954" s="23" t="s">
        <v>1656</v>
      </c>
      <c r="C2954" s="22">
        <v>50</v>
      </c>
      <c r="D2954" s="86">
        <v>298300</v>
      </c>
      <c r="E2954" s="86">
        <v>118421</v>
      </c>
      <c r="F2954" s="87">
        <v>31900</v>
      </c>
      <c r="G2954" s="87">
        <v>108658</v>
      </c>
      <c r="H2954" s="88">
        <v>39321</v>
      </c>
    </row>
    <row r="2955" spans="1:8" ht="18" customHeight="1" x14ac:dyDescent="0.15">
      <c r="A2955" s="250"/>
      <c r="B2955" s="23" t="s">
        <v>1657</v>
      </c>
      <c r="C2955" s="22">
        <v>467</v>
      </c>
      <c r="D2955" s="86">
        <v>2398609</v>
      </c>
      <c r="E2955" s="86">
        <v>184371</v>
      </c>
      <c r="F2955" s="87">
        <v>1185835</v>
      </c>
      <c r="G2955" s="87">
        <v>969982</v>
      </c>
      <c r="H2955" s="88">
        <v>58420</v>
      </c>
    </row>
    <row r="2956" spans="1:8" ht="13.5" x14ac:dyDescent="0.15">
      <c r="A2956" s="250"/>
      <c r="B2956" s="23" t="s">
        <v>12</v>
      </c>
      <c r="C2956" s="22">
        <v>294</v>
      </c>
      <c r="D2956" s="86">
        <v>8253800</v>
      </c>
      <c r="E2956" s="86">
        <v>794470</v>
      </c>
      <c r="F2956" s="87">
        <v>1533900</v>
      </c>
      <c r="G2956" s="87">
        <v>5328200</v>
      </c>
      <c r="H2956" s="88">
        <v>597230</v>
      </c>
    </row>
    <row r="2957" spans="1:8" ht="13.5" x14ac:dyDescent="0.15">
      <c r="A2957" s="250"/>
      <c r="B2957" s="23" t="s">
        <v>1658</v>
      </c>
      <c r="C2957" s="22">
        <v>49</v>
      </c>
      <c r="D2957" s="86">
        <v>1835100</v>
      </c>
      <c r="E2957" s="86">
        <v>176100</v>
      </c>
      <c r="F2957" s="87">
        <v>628700</v>
      </c>
      <c r="G2957" s="87">
        <v>876300</v>
      </c>
      <c r="H2957" s="88">
        <v>154000</v>
      </c>
    </row>
    <row r="2958" spans="1:8" ht="18" customHeight="1" x14ac:dyDescent="0.15">
      <c r="A2958" s="250"/>
      <c r="B2958" s="23" t="s">
        <v>1659</v>
      </c>
      <c r="C2958" s="22">
        <v>0</v>
      </c>
      <c r="D2958" s="86">
        <v>0</v>
      </c>
      <c r="E2958" s="86">
        <v>0</v>
      </c>
      <c r="F2958" s="87">
        <v>0</v>
      </c>
      <c r="G2958" s="87">
        <v>0</v>
      </c>
      <c r="H2958" s="88">
        <v>0</v>
      </c>
    </row>
    <row r="2959" spans="1:8" ht="13.5" x14ac:dyDescent="0.15">
      <c r="A2959" s="250"/>
      <c r="B2959" s="23" t="s">
        <v>1660</v>
      </c>
      <c r="C2959" s="22">
        <v>3</v>
      </c>
      <c r="D2959" s="86">
        <v>10800</v>
      </c>
      <c r="E2959" s="86">
        <v>0</v>
      </c>
      <c r="F2959" s="87">
        <v>0</v>
      </c>
      <c r="G2959" s="87">
        <v>10800</v>
      </c>
      <c r="H2959" s="88">
        <v>0</v>
      </c>
    </row>
    <row r="2960" spans="1:8" ht="24" customHeight="1" x14ac:dyDescent="0.15">
      <c r="A2960" s="250"/>
      <c r="B2960" s="23" t="s">
        <v>8</v>
      </c>
      <c r="C2960" s="22">
        <v>1</v>
      </c>
      <c r="D2960" s="86">
        <v>3000</v>
      </c>
      <c r="E2960" s="86">
        <v>100</v>
      </c>
      <c r="F2960" s="87">
        <v>0</v>
      </c>
      <c r="G2960" s="87">
        <v>2100</v>
      </c>
      <c r="H2960" s="88">
        <v>800</v>
      </c>
    </row>
    <row r="2961" spans="1:8" ht="18" customHeight="1" x14ac:dyDescent="0.15">
      <c r="A2961" s="251"/>
      <c r="B2961" s="23" t="s">
        <v>1661</v>
      </c>
      <c r="C2961" s="22">
        <v>18</v>
      </c>
      <c r="D2961" s="86">
        <v>10081</v>
      </c>
      <c r="E2961" s="86">
        <v>466</v>
      </c>
      <c r="F2961" s="87">
        <v>8000</v>
      </c>
      <c r="G2961" s="87">
        <v>1615</v>
      </c>
      <c r="H2961" s="88">
        <v>0</v>
      </c>
    </row>
    <row r="2962" spans="1:8" ht="13.5" x14ac:dyDescent="0.15">
      <c r="A2962" s="18" t="s">
        <v>1662</v>
      </c>
      <c r="B2962" s="17" t="s">
        <v>5</v>
      </c>
      <c r="C2962" s="16">
        <v>3325</v>
      </c>
      <c r="D2962" s="80">
        <v>19320734</v>
      </c>
      <c r="E2962" s="80">
        <v>837800</v>
      </c>
      <c r="F2962" s="81">
        <v>8603297</v>
      </c>
      <c r="G2962" s="81">
        <v>6613119</v>
      </c>
      <c r="H2962" s="82">
        <v>3266518</v>
      </c>
    </row>
    <row r="2963" spans="1:8" ht="18" customHeight="1" x14ac:dyDescent="0.15">
      <c r="A2963" s="252" t="s">
        <v>1663</v>
      </c>
      <c r="B2963" s="12" t="s">
        <v>1664</v>
      </c>
      <c r="C2963" s="11">
        <v>5965</v>
      </c>
      <c r="D2963" s="89">
        <v>78441711</v>
      </c>
      <c r="E2963" s="89">
        <v>48068268</v>
      </c>
      <c r="F2963" s="90">
        <v>12761614</v>
      </c>
      <c r="G2963" s="90">
        <v>10926932</v>
      </c>
      <c r="H2963" s="91">
        <v>6684896</v>
      </c>
    </row>
    <row r="2964" spans="1:8" ht="18" customHeight="1" thickBot="1" x14ac:dyDescent="0.2">
      <c r="A2964" s="253"/>
      <c r="B2964" s="7" t="s">
        <v>1665</v>
      </c>
      <c r="C2964" s="6">
        <v>5866</v>
      </c>
      <c r="D2964" s="92" t="s">
        <v>1666</v>
      </c>
      <c r="E2964" s="92" t="s">
        <v>54</v>
      </c>
      <c r="F2964" s="92" t="s">
        <v>54</v>
      </c>
      <c r="G2964" s="92" t="s">
        <v>54</v>
      </c>
      <c r="H2964" s="93" t="s">
        <v>54</v>
      </c>
    </row>
    <row r="2965" spans="1:8" ht="12" x14ac:dyDescent="0.15">
      <c r="A2965" s="3" t="s">
        <v>1667</v>
      </c>
      <c r="B2965" s="2"/>
      <c r="C2965" s="2"/>
      <c r="D2965" s="2"/>
      <c r="E2965" s="2"/>
      <c r="F2965" s="2"/>
      <c r="G2965" s="2"/>
      <c r="H2965" s="2"/>
    </row>
    <row r="2966" spans="1:8" ht="18" customHeight="1" x14ac:dyDescent="0.15">
      <c r="A2966" s="3" t="s">
        <v>2587</v>
      </c>
      <c r="B2966" s="2"/>
      <c r="C2966" s="2"/>
      <c r="D2966" s="2"/>
      <c r="E2966" s="2"/>
      <c r="F2966" s="2"/>
      <c r="G2966" s="2"/>
      <c r="H2966" s="2"/>
    </row>
    <row r="2967" spans="1:8" ht="18" customHeight="1" x14ac:dyDescent="0.15">
      <c r="A2967" s="3" t="s">
        <v>1668</v>
      </c>
      <c r="B2967" s="2"/>
      <c r="C2967" s="2"/>
      <c r="D2967" s="2"/>
      <c r="E2967" s="2"/>
      <c r="F2967" s="2"/>
      <c r="G2967" s="2"/>
      <c r="H2967" s="2"/>
    </row>
    <row r="2968" spans="1:8" ht="12" x14ac:dyDescent="0.15">
      <c r="A2968" s="3" t="s">
        <v>1669</v>
      </c>
      <c r="B2968" s="2"/>
      <c r="C2968" s="2"/>
      <c r="D2968" s="2"/>
      <c r="E2968" s="2"/>
      <c r="F2968" s="2"/>
      <c r="G2968" s="2"/>
      <c r="H2968" s="2"/>
    </row>
    <row r="2969" spans="1:8" ht="18" customHeight="1" x14ac:dyDescent="0.15">
      <c r="A2969" s="230" t="s">
        <v>1574</v>
      </c>
      <c r="B2969" s="230"/>
      <c r="C2969" s="230"/>
      <c r="D2969" s="230"/>
      <c r="E2969" s="230"/>
      <c r="F2969" s="230"/>
      <c r="G2969" s="230"/>
      <c r="H2969" s="230"/>
    </row>
    <row r="2970" spans="1:8" ht="18" customHeight="1" x14ac:dyDescent="0.15">
      <c r="A2970" s="231"/>
      <c r="B2970" s="231"/>
      <c r="C2970" s="231"/>
      <c r="D2970" s="231"/>
      <c r="E2970" s="231"/>
      <c r="F2970" s="231"/>
      <c r="G2970" s="231"/>
      <c r="H2970" s="231"/>
    </row>
    <row r="2971" spans="1:8" ht="18" customHeight="1" thickBot="1" x14ac:dyDescent="0.2">
      <c r="A2971" s="58" t="s">
        <v>1575</v>
      </c>
    </row>
    <row r="2972" spans="1:8" ht="18" customHeight="1" x14ac:dyDescent="0.15">
      <c r="A2972" s="232" t="s">
        <v>1576</v>
      </c>
      <c r="B2972" s="235" t="s">
        <v>1577</v>
      </c>
      <c r="C2972" s="238" t="s">
        <v>1578</v>
      </c>
      <c r="D2972" s="241" t="s">
        <v>1579</v>
      </c>
      <c r="E2972" s="57"/>
      <c r="F2972" s="56"/>
      <c r="G2972" s="56"/>
      <c r="H2972" s="55"/>
    </row>
    <row r="2973" spans="1:8" ht="18" customHeight="1" x14ac:dyDescent="0.15">
      <c r="A2973" s="233"/>
      <c r="B2973" s="236"/>
      <c r="C2973" s="239"/>
      <c r="D2973" s="242"/>
      <c r="E2973" s="244" t="s">
        <v>1580</v>
      </c>
      <c r="F2973" s="246" t="s">
        <v>1581</v>
      </c>
      <c r="G2973" s="246" t="s">
        <v>1582</v>
      </c>
      <c r="H2973" s="248" t="s">
        <v>1583</v>
      </c>
    </row>
    <row r="2974" spans="1:8" ht="18" customHeight="1" thickBot="1" x14ac:dyDescent="0.2">
      <c r="A2974" s="234"/>
      <c r="B2974" s="237"/>
      <c r="C2974" s="240"/>
      <c r="D2974" s="243"/>
      <c r="E2974" s="245"/>
      <c r="F2974" s="247"/>
      <c r="G2974" s="247"/>
      <c r="H2974" s="249"/>
    </row>
    <row r="2975" spans="1:8" ht="18" customHeight="1" thickTop="1" x14ac:dyDescent="0.15">
      <c r="A2975" s="54"/>
      <c r="B2975" s="53"/>
      <c r="C2975" s="52"/>
      <c r="D2975" s="51" t="s">
        <v>1584</v>
      </c>
      <c r="E2975" s="50" t="s">
        <v>1584</v>
      </c>
      <c r="F2975" s="49" t="s">
        <v>1584</v>
      </c>
      <c r="G2975" s="49" t="s">
        <v>1584</v>
      </c>
      <c r="H2975" s="48" t="s">
        <v>1584</v>
      </c>
    </row>
    <row r="2976" spans="1:8" ht="18" customHeight="1" x14ac:dyDescent="0.15">
      <c r="A2976" s="250" t="s">
        <v>1585</v>
      </c>
      <c r="B2976" s="61" t="s">
        <v>1586</v>
      </c>
      <c r="C2976" s="62">
        <v>3737</v>
      </c>
      <c r="D2976" s="63">
        <v>682409001</v>
      </c>
      <c r="E2976" s="63">
        <v>256679035</v>
      </c>
      <c r="F2976" s="64">
        <v>209229177</v>
      </c>
      <c r="G2976" s="64">
        <v>211291387</v>
      </c>
      <c r="H2976" s="65">
        <v>5209400</v>
      </c>
    </row>
    <row r="2977" spans="1:8" ht="18" customHeight="1" x14ac:dyDescent="0.15">
      <c r="A2977" s="250"/>
      <c r="B2977" s="66" t="s">
        <v>1587</v>
      </c>
      <c r="C2977" s="67">
        <v>35</v>
      </c>
      <c r="D2977" s="68">
        <v>303421</v>
      </c>
      <c r="E2977" s="68">
        <v>80053</v>
      </c>
      <c r="F2977" s="69">
        <v>197976</v>
      </c>
      <c r="G2977" s="69">
        <v>25390</v>
      </c>
      <c r="H2977" s="70">
        <v>0</v>
      </c>
    </row>
    <row r="2978" spans="1:8" ht="18" customHeight="1" x14ac:dyDescent="0.15">
      <c r="A2978" s="250"/>
      <c r="B2978" s="66" t="s">
        <v>1588</v>
      </c>
      <c r="C2978" s="67">
        <v>92</v>
      </c>
      <c r="D2978" s="68">
        <v>0</v>
      </c>
      <c r="E2978" s="68">
        <v>0</v>
      </c>
      <c r="F2978" s="69">
        <v>0</v>
      </c>
      <c r="G2978" s="69">
        <v>0</v>
      </c>
      <c r="H2978" s="70">
        <v>0</v>
      </c>
    </row>
    <row r="2979" spans="1:8" ht="18" customHeight="1" x14ac:dyDescent="0.15">
      <c r="A2979" s="250"/>
      <c r="B2979" s="71" t="s">
        <v>1589</v>
      </c>
      <c r="C2979" s="72">
        <v>1</v>
      </c>
      <c r="D2979" s="73">
        <v>168627</v>
      </c>
      <c r="E2979" s="73">
        <v>127726</v>
      </c>
      <c r="F2979" s="74">
        <v>8404</v>
      </c>
      <c r="G2979" s="74">
        <v>30798</v>
      </c>
      <c r="H2979" s="75">
        <v>1698</v>
      </c>
    </row>
    <row r="2980" spans="1:8" ht="18" customHeight="1" x14ac:dyDescent="0.15">
      <c r="A2980" s="250"/>
      <c r="B2980" s="66" t="s">
        <v>1590</v>
      </c>
      <c r="C2980" s="67">
        <v>63</v>
      </c>
      <c r="D2980" s="68">
        <v>12646285</v>
      </c>
      <c r="E2980" s="68">
        <v>3415453</v>
      </c>
      <c r="F2980" s="69">
        <v>3277469</v>
      </c>
      <c r="G2980" s="69">
        <v>5902304</v>
      </c>
      <c r="H2980" s="70">
        <v>51058</v>
      </c>
    </row>
    <row r="2981" spans="1:8" ht="18" customHeight="1" x14ac:dyDescent="0.15">
      <c r="A2981" s="250"/>
      <c r="B2981" s="76" t="s">
        <v>1591</v>
      </c>
      <c r="C2981" s="67">
        <v>180</v>
      </c>
      <c r="D2981" s="68">
        <v>34207711</v>
      </c>
      <c r="E2981" s="68">
        <v>3644583</v>
      </c>
      <c r="F2981" s="69">
        <v>1455778</v>
      </c>
      <c r="G2981" s="69">
        <v>29010817</v>
      </c>
      <c r="H2981" s="70">
        <v>96531</v>
      </c>
    </row>
    <row r="2982" spans="1:8" ht="18" customHeight="1" x14ac:dyDescent="0.15">
      <c r="A2982" s="251"/>
      <c r="B2982" s="77" t="s">
        <v>1592</v>
      </c>
      <c r="C2982" s="72">
        <v>40</v>
      </c>
      <c r="D2982" s="73">
        <v>260520</v>
      </c>
      <c r="E2982" s="73">
        <v>235261</v>
      </c>
      <c r="F2982" s="74">
        <v>3312</v>
      </c>
      <c r="G2982" s="74">
        <v>21311</v>
      </c>
      <c r="H2982" s="75">
        <v>635</v>
      </c>
    </row>
    <row r="2983" spans="1:8" ht="18" customHeight="1" x14ac:dyDescent="0.15">
      <c r="A2983" s="30" t="s">
        <v>1593</v>
      </c>
      <c r="B2983" s="78" t="s">
        <v>1594</v>
      </c>
      <c r="C2983" s="79">
        <v>31</v>
      </c>
      <c r="D2983" s="80">
        <v>95287</v>
      </c>
      <c r="E2983" s="80">
        <v>90423</v>
      </c>
      <c r="F2983" s="81">
        <v>3566</v>
      </c>
      <c r="G2983" s="81">
        <v>470</v>
      </c>
      <c r="H2983" s="82">
        <v>827</v>
      </c>
    </row>
    <row r="2984" spans="1:8" ht="13.5" x14ac:dyDescent="0.15">
      <c r="A2984" s="252" t="s">
        <v>1595</v>
      </c>
      <c r="B2984" s="17" t="s">
        <v>1596</v>
      </c>
      <c r="C2984" s="16">
        <v>3121</v>
      </c>
      <c r="D2984" s="83">
        <v>60987096</v>
      </c>
      <c r="E2984" s="83">
        <v>9361854</v>
      </c>
      <c r="F2984" s="84">
        <v>10582422</v>
      </c>
      <c r="G2984" s="84">
        <v>33141034</v>
      </c>
      <c r="H2984" s="85">
        <v>7901784</v>
      </c>
    </row>
    <row r="2985" spans="1:8" ht="18" customHeight="1" x14ac:dyDescent="0.15">
      <c r="A2985" s="250"/>
      <c r="B2985" s="23" t="s">
        <v>1597</v>
      </c>
      <c r="C2985" s="22">
        <v>3112</v>
      </c>
      <c r="D2985" s="86">
        <v>14370721</v>
      </c>
      <c r="E2985" s="86">
        <v>637843</v>
      </c>
      <c r="F2985" s="87">
        <v>3847522</v>
      </c>
      <c r="G2985" s="87">
        <v>8105136</v>
      </c>
      <c r="H2985" s="88">
        <v>1780219</v>
      </c>
    </row>
    <row r="2986" spans="1:8" ht="18" customHeight="1" x14ac:dyDescent="0.15">
      <c r="A2986" s="250"/>
      <c r="B2986" s="24" t="s">
        <v>1598</v>
      </c>
      <c r="C2986" s="22">
        <v>622</v>
      </c>
      <c r="D2986" s="86">
        <v>31966440</v>
      </c>
      <c r="E2986" s="86">
        <v>2205067</v>
      </c>
      <c r="F2986" s="87">
        <v>8322838</v>
      </c>
      <c r="G2986" s="87">
        <v>15744675</v>
      </c>
      <c r="H2986" s="88">
        <v>5693858</v>
      </c>
    </row>
    <row r="2987" spans="1:8" ht="18" customHeight="1" x14ac:dyDescent="0.15">
      <c r="A2987" s="250"/>
      <c r="B2987" s="23" t="s">
        <v>1599</v>
      </c>
      <c r="C2987" s="22">
        <v>1668</v>
      </c>
      <c r="D2987" s="86">
        <v>49186100</v>
      </c>
      <c r="E2987" s="86">
        <v>4955754</v>
      </c>
      <c r="F2987" s="87">
        <v>9204411</v>
      </c>
      <c r="G2987" s="87">
        <v>30791742</v>
      </c>
      <c r="H2987" s="88">
        <v>4234191</v>
      </c>
    </row>
    <row r="2988" spans="1:8" ht="18" customHeight="1" x14ac:dyDescent="0.15">
      <c r="A2988" s="250"/>
      <c r="B2988" s="23" t="s">
        <v>1600</v>
      </c>
      <c r="C2988" s="22">
        <v>306</v>
      </c>
      <c r="D2988" s="86">
        <v>4360806</v>
      </c>
      <c r="E2988" s="86">
        <v>281087</v>
      </c>
      <c r="F2988" s="87">
        <v>103432</v>
      </c>
      <c r="G2988" s="87">
        <v>3930581</v>
      </c>
      <c r="H2988" s="88">
        <v>45703</v>
      </c>
    </row>
    <row r="2989" spans="1:8" ht="18" customHeight="1" x14ac:dyDescent="0.15">
      <c r="A2989" s="250"/>
      <c r="B2989" s="23" t="s">
        <v>1601</v>
      </c>
      <c r="C2989" s="22">
        <v>123</v>
      </c>
      <c r="D2989" s="86">
        <v>1143600</v>
      </c>
      <c r="E2989" s="86">
        <v>280400</v>
      </c>
      <c r="F2989" s="87">
        <v>85400</v>
      </c>
      <c r="G2989" s="87">
        <v>494980</v>
      </c>
      <c r="H2989" s="88">
        <v>282820</v>
      </c>
    </row>
    <row r="2990" spans="1:8" ht="13.5" x14ac:dyDescent="0.15">
      <c r="A2990" s="250"/>
      <c r="B2990" s="23" t="s">
        <v>1602</v>
      </c>
      <c r="C2990" s="22">
        <v>28</v>
      </c>
      <c r="D2990" s="86">
        <v>227421</v>
      </c>
      <c r="E2990" s="86">
        <v>122487</v>
      </c>
      <c r="F2990" s="87">
        <v>14710</v>
      </c>
      <c r="G2990" s="87">
        <v>49105</v>
      </c>
      <c r="H2990" s="88">
        <v>41119</v>
      </c>
    </row>
    <row r="2991" spans="1:8" ht="18" customHeight="1" x14ac:dyDescent="0.15">
      <c r="A2991" s="250"/>
      <c r="B2991" s="23" t="s">
        <v>1603</v>
      </c>
      <c r="C2991" s="22">
        <v>0</v>
      </c>
      <c r="D2991" s="86">
        <v>0</v>
      </c>
      <c r="E2991" s="86">
        <v>0</v>
      </c>
      <c r="F2991" s="87">
        <v>0</v>
      </c>
      <c r="G2991" s="87">
        <v>0</v>
      </c>
      <c r="H2991" s="88">
        <v>0</v>
      </c>
    </row>
    <row r="2992" spans="1:8" ht="18" customHeight="1" x14ac:dyDescent="0.15">
      <c r="A2992" s="250"/>
      <c r="B2992" s="23" t="s">
        <v>1604</v>
      </c>
      <c r="C2992" s="22">
        <v>243</v>
      </c>
      <c r="D2992" s="86">
        <v>8699300</v>
      </c>
      <c r="E2992" s="86">
        <v>805070</v>
      </c>
      <c r="F2992" s="87">
        <v>2779260</v>
      </c>
      <c r="G2992" s="87">
        <v>3322520</v>
      </c>
      <c r="H2992" s="88">
        <v>1792450</v>
      </c>
    </row>
    <row r="2993" spans="1:8" ht="18" customHeight="1" x14ac:dyDescent="0.15">
      <c r="A2993" s="250"/>
      <c r="B2993" s="23" t="s">
        <v>1605</v>
      </c>
      <c r="C2993" s="22">
        <v>3133</v>
      </c>
      <c r="D2993" s="86">
        <v>61255205</v>
      </c>
      <c r="E2993" s="86">
        <v>13768107</v>
      </c>
      <c r="F2993" s="87">
        <v>9704156</v>
      </c>
      <c r="G2993" s="87">
        <v>30916180</v>
      </c>
      <c r="H2993" s="88">
        <v>6866760</v>
      </c>
    </row>
    <row r="2994" spans="1:8" ht="18" customHeight="1" x14ac:dyDescent="0.15">
      <c r="A2994" s="250"/>
      <c r="B2994" s="23" t="s">
        <v>1606</v>
      </c>
      <c r="C2994" s="22">
        <v>602</v>
      </c>
      <c r="D2994" s="86">
        <v>14618460</v>
      </c>
      <c r="E2994" s="86">
        <v>2363568</v>
      </c>
      <c r="F2994" s="87">
        <v>2766212</v>
      </c>
      <c r="G2994" s="87">
        <v>8105493</v>
      </c>
      <c r="H2994" s="88">
        <v>1383186</v>
      </c>
    </row>
    <row r="2995" spans="1:8" ht="18" customHeight="1" x14ac:dyDescent="0.15">
      <c r="A2995" s="250"/>
      <c r="B2995" s="23" t="s">
        <v>1607</v>
      </c>
      <c r="C2995" s="22">
        <v>50989</v>
      </c>
      <c r="D2995" s="86">
        <v>13114147</v>
      </c>
      <c r="E2995" s="86">
        <v>978711</v>
      </c>
      <c r="F2995" s="87">
        <v>5608148</v>
      </c>
      <c r="G2995" s="87">
        <v>6157406</v>
      </c>
      <c r="H2995" s="88">
        <v>369880</v>
      </c>
    </row>
    <row r="2996" spans="1:8" ht="13.5" x14ac:dyDescent="0.15">
      <c r="A2996" s="250"/>
      <c r="B2996" s="23" t="s">
        <v>1608</v>
      </c>
      <c r="C2996" s="22">
        <v>605</v>
      </c>
      <c r="D2996" s="86">
        <v>1539250</v>
      </c>
      <c r="E2996" s="86">
        <v>41921</v>
      </c>
      <c r="F2996" s="87">
        <v>1074315</v>
      </c>
      <c r="G2996" s="87">
        <v>423013</v>
      </c>
      <c r="H2996" s="88">
        <v>0</v>
      </c>
    </row>
    <row r="2997" spans="1:8" ht="13.5" x14ac:dyDescent="0.15">
      <c r="A2997" s="250"/>
      <c r="B2997" s="23" t="s">
        <v>1609</v>
      </c>
      <c r="C2997" s="22">
        <v>50</v>
      </c>
      <c r="D2997" s="86">
        <v>298300</v>
      </c>
      <c r="E2997" s="86">
        <v>118135</v>
      </c>
      <c r="F2997" s="87">
        <v>32000</v>
      </c>
      <c r="G2997" s="87">
        <v>108944</v>
      </c>
      <c r="H2997" s="88">
        <v>39221</v>
      </c>
    </row>
    <row r="2998" spans="1:8" ht="18" customHeight="1" x14ac:dyDescent="0.15">
      <c r="A2998" s="250"/>
      <c r="B2998" s="23" t="s">
        <v>1610</v>
      </c>
      <c r="C2998" s="22">
        <v>459</v>
      </c>
      <c r="D2998" s="86">
        <v>2389193</v>
      </c>
      <c r="E2998" s="86">
        <v>187805</v>
      </c>
      <c r="F2998" s="87">
        <v>1174015</v>
      </c>
      <c r="G2998" s="87">
        <v>970802</v>
      </c>
      <c r="H2998" s="88">
        <v>56570</v>
      </c>
    </row>
    <row r="2999" spans="1:8" ht="13.5" x14ac:dyDescent="0.15">
      <c r="A2999" s="250"/>
      <c r="B2999" s="23" t="s">
        <v>1611</v>
      </c>
      <c r="C2999" s="22">
        <v>286</v>
      </c>
      <c r="D2999" s="86">
        <v>7859600</v>
      </c>
      <c r="E2999" s="86">
        <v>734270</v>
      </c>
      <c r="F2999" s="87">
        <v>1468900</v>
      </c>
      <c r="G2999" s="87">
        <v>5105800</v>
      </c>
      <c r="H2999" s="88">
        <v>550630</v>
      </c>
    </row>
    <row r="3000" spans="1:8" ht="24" customHeight="1" x14ac:dyDescent="0.15">
      <c r="A3000" s="250"/>
      <c r="B3000" s="23" t="s">
        <v>1612</v>
      </c>
      <c r="C3000" s="22">
        <v>50</v>
      </c>
      <c r="D3000" s="86">
        <v>1885100</v>
      </c>
      <c r="E3000" s="86">
        <v>205400</v>
      </c>
      <c r="F3000" s="87">
        <v>632300</v>
      </c>
      <c r="G3000" s="87">
        <v>893100</v>
      </c>
      <c r="H3000" s="88">
        <v>154300</v>
      </c>
    </row>
    <row r="3001" spans="1:8" ht="18" customHeight="1" x14ac:dyDescent="0.15">
      <c r="A3001" s="250"/>
      <c r="B3001" s="23" t="s">
        <v>1613</v>
      </c>
      <c r="C3001" s="22">
        <v>0</v>
      </c>
      <c r="D3001" s="86">
        <v>0</v>
      </c>
      <c r="E3001" s="86">
        <v>0</v>
      </c>
      <c r="F3001" s="87">
        <v>0</v>
      </c>
      <c r="G3001" s="87">
        <v>0</v>
      </c>
      <c r="H3001" s="88">
        <v>0</v>
      </c>
    </row>
    <row r="3002" spans="1:8" ht="13.5" x14ac:dyDescent="0.15">
      <c r="A3002" s="250"/>
      <c r="B3002" s="23" t="s">
        <v>1614</v>
      </c>
      <c r="C3002" s="22">
        <v>3</v>
      </c>
      <c r="D3002" s="86">
        <v>10800</v>
      </c>
      <c r="E3002" s="86">
        <v>0</v>
      </c>
      <c r="F3002" s="87">
        <v>0</v>
      </c>
      <c r="G3002" s="87">
        <v>10800</v>
      </c>
      <c r="H3002" s="88">
        <v>0</v>
      </c>
    </row>
    <row r="3003" spans="1:8" ht="18" customHeight="1" x14ac:dyDescent="0.15">
      <c r="A3003" s="250"/>
      <c r="B3003" s="23" t="s">
        <v>1615</v>
      </c>
      <c r="C3003" s="22">
        <v>1</v>
      </c>
      <c r="D3003" s="86">
        <v>3000</v>
      </c>
      <c r="E3003" s="86">
        <v>100</v>
      </c>
      <c r="F3003" s="87">
        <v>0</v>
      </c>
      <c r="G3003" s="87">
        <v>2100</v>
      </c>
      <c r="H3003" s="88">
        <v>800</v>
      </c>
    </row>
    <row r="3004" spans="1:8" ht="18" customHeight="1" x14ac:dyDescent="0.15">
      <c r="A3004" s="251"/>
      <c r="B3004" s="23" t="s">
        <v>1616</v>
      </c>
      <c r="C3004" s="22">
        <v>19</v>
      </c>
      <c r="D3004" s="86">
        <v>10281</v>
      </c>
      <c r="E3004" s="86">
        <v>466</v>
      </c>
      <c r="F3004" s="87">
        <v>8000</v>
      </c>
      <c r="G3004" s="87">
        <v>1815</v>
      </c>
      <c r="H3004" s="88">
        <v>0</v>
      </c>
    </row>
    <row r="3005" spans="1:8" ht="13.5" x14ac:dyDescent="0.15">
      <c r="A3005" s="18" t="s">
        <v>1617</v>
      </c>
      <c r="B3005" s="17" t="s">
        <v>1618</v>
      </c>
      <c r="C3005" s="16">
        <v>3383</v>
      </c>
      <c r="D3005" s="80">
        <v>16226263</v>
      </c>
      <c r="E3005" s="80">
        <v>787400</v>
      </c>
      <c r="F3005" s="81">
        <v>6775113</v>
      </c>
      <c r="G3005" s="81">
        <v>5815058</v>
      </c>
      <c r="H3005" s="82">
        <v>2848692</v>
      </c>
    </row>
    <row r="3006" spans="1:8" ht="18" customHeight="1" x14ac:dyDescent="0.15">
      <c r="A3006" s="252" t="s">
        <v>1619</v>
      </c>
      <c r="B3006" s="12" t="s">
        <v>1620</v>
      </c>
      <c r="C3006" s="11">
        <v>5976</v>
      </c>
      <c r="D3006" s="89">
        <v>77690196</v>
      </c>
      <c r="E3006" s="89">
        <v>47640322</v>
      </c>
      <c r="F3006" s="90">
        <v>12645144</v>
      </c>
      <c r="G3006" s="90">
        <v>10837143</v>
      </c>
      <c r="H3006" s="91">
        <v>6567585</v>
      </c>
    </row>
    <row r="3007" spans="1:8" ht="18" customHeight="1" thickBot="1" x14ac:dyDescent="0.2">
      <c r="A3007" s="253"/>
      <c r="B3007" s="7" t="s">
        <v>1621</v>
      </c>
      <c r="C3007" s="6">
        <v>5805</v>
      </c>
      <c r="D3007" s="92" t="s">
        <v>1622</v>
      </c>
      <c r="E3007" s="92" t="s">
        <v>54</v>
      </c>
      <c r="F3007" s="92" t="s">
        <v>54</v>
      </c>
      <c r="G3007" s="92" t="s">
        <v>54</v>
      </c>
      <c r="H3007" s="93" t="s">
        <v>54</v>
      </c>
    </row>
    <row r="3008" spans="1:8" ht="12" x14ac:dyDescent="0.15">
      <c r="A3008" s="3" t="s">
        <v>1623</v>
      </c>
      <c r="B3008" s="2"/>
      <c r="C3008" s="2"/>
      <c r="D3008" s="2"/>
      <c r="E3008" s="2"/>
      <c r="F3008" s="2"/>
      <c r="G3008" s="2"/>
      <c r="H3008" s="2"/>
    </row>
    <row r="3009" spans="1:8" ht="18" customHeight="1" x14ac:dyDescent="0.15">
      <c r="A3009" s="3" t="s">
        <v>2587</v>
      </c>
      <c r="B3009" s="2"/>
      <c r="C3009" s="2"/>
      <c r="D3009" s="2"/>
      <c r="E3009" s="2"/>
      <c r="F3009" s="2"/>
      <c r="G3009" s="2"/>
      <c r="H3009" s="2"/>
    </row>
    <row r="3010" spans="1:8" ht="18" customHeight="1" x14ac:dyDescent="0.15">
      <c r="A3010" s="3" t="s">
        <v>1624</v>
      </c>
      <c r="B3010" s="2"/>
      <c r="C3010" s="2"/>
      <c r="D3010" s="2"/>
      <c r="E3010" s="2"/>
      <c r="F3010" s="2"/>
      <c r="G3010" s="2"/>
      <c r="H3010" s="2"/>
    </row>
    <row r="3011" spans="1:8" ht="12" x14ac:dyDescent="0.15">
      <c r="A3011" s="3" t="s">
        <v>1625</v>
      </c>
      <c r="B3011" s="2"/>
      <c r="C3011" s="2"/>
      <c r="D3011" s="2"/>
      <c r="E3011" s="2"/>
      <c r="F3011" s="2"/>
      <c r="G3011" s="2"/>
      <c r="H3011" s="2"/>
    </row>
    <row r="3012" spans="1:8" ht="18" customHeight="1" x14ac:dyDescent="0.15">
      <c r="A3012" s="230" t="s">
        <v>1522</v>
      </c>
      <c r="B3012" s="230"/>
      <c r="C3012" s="230"/>
      <c r="D3012" s="230"/>
      <c r="E3012" s="230"/>
      <c r="F3012" s="230"/>
      <c r="G3012" s="230"/>
      <c r="H3012" s="230"/>
    </row>
    <row r="3013" spans="1:8" ht="18" customHeight="1" x14ac:dyDescent="0.15">
      <c r="A3013" s="231"/>
      <c r="B3013" s="231"/>
      <c r="C3013" s="231"/>
      <c r="D3013" s="231"/>
      <c r="E3013" s="231"/>
      <c r="F3013" s="231"/>
      <c r="G3013" s="231"/>
      <c r="H3013" s="231"/>
    </row>
    <row r="3014" spans="1:8" ht="18" customHeight="1" thickBot="1" x14ac:dyDescent="0.2">
      <c r="A3014" s="58" t="s">
        <v>1523</v>
      </c>
    </row>
    <row r="3015" spans="1:8" ht="18" customHeight="1" x14ac:dyDescent="0.15">
      <c r="A3015" s="232" t="s">
        <v>1524</v>
      </c>
      <c r="B3015" s="235" t="s">
        <v>1525</v>
      </c>
      <c r="C3015" s="238" t="s">
        <v>1526</v>
      </c>
      <c r="D3015" s="241" t="s">
        <v>1527</v>
      </c>
      <c r="E3015" s="57"/>
      <c r="F3015" s="56"/>
      <c r="G3015" s="56"/>
      <c r="H3015" s="55"/>
    </row>
    <row r="3016" spans="1:8" ht="18" customHeight="1" x14ac:dyDescent="0.15">
      <c r="A3016" s="233"/>
      <c r="B3016" s="236"/>
      <c r="C3016" s="239"/>
      <c r="D3016" s="242"/>
      <c r="E3016" s="244" t="s">
        <v>1528</v>
      </c>
      <c r="F3016" s="246" t="s">
        <v>1529</v>
      </c>
      <c r="G3016" s="246" t="s">
        <v>1530</v>
      </c>
      <c r="H3016" s="248" t="s">
        <v>1531</v>
      </c>
    </row>
    <row r="3017" spans="1:8" ht="18" customHeight="1" thickBot="1" x14ac:dyDescent="0.2">
      <c r="A3017" s="234"/>
      <c r="B3017" s="237"/>
      <c r="C3017" s="240"/>
      <c r="D3017" s="243"/>
      <c r="E3017" s="245"/>
      <c r="F3017" s="247"/>
      <c r="G3017" s="247"/>
      <c r="H3017" s="249"/>
    </row>
    <row r="3018" spans="1:8" ht="18" customHeight="1" thickTop="1" x14ac:dyDescent="0.15">
      <c r="A3018" s="54"/>
      <c r="B3018" s="53"/>
      <c r="C3018" s="52"/>
      <c r="D3018" s="51" t="s">
        <v>1532</v>
      </c>
      <c r="E3018" s="50" t="s">
        <v>1532</v>
      </c>
      <c r="F3018" s="49" t="s">
        <v>1532</v>
      </c>
      <c r="G3018" s="49" t="s">
        <v>1532</v>
      </c>
      <c r="H3018" s="48" t="s">
        <v>1532</v>
      </c>
    </row>
    <row r="3019" spans="1:8" ht="18" customHeight="1" x14ac:dyDescent="0.15">
      <c r="A3019" s="250" t="s">
        <v>1533</v>
      </c>
      <c r="B3019" s="61" t="s">
        <v>1534</v>
      </c>
      <c r="C3019" s="62">
        <v>3725</v>
      </c>
      <c r="D3019" s="63">
        <v>687256468</v>
      </c>
      <c r="E3019" s="63">
        <v>256298134</v>
      </c>
      <c r="F3019" s="64">
        <v>213587035</v>
      </c>
      <c r="G3019" s="64">
        <v>212047167</v>
      </c>
      <c r="H3019" s="65">
        <v>5324131</v>
      </c>
    </row>
    <row r="3020" spans="1:8" ht="18" customHeight="1" x14ac:dyDescent="0.15">
      <c r="A3020" s="250"/>
      <c r="B3020" s="66" t="s">
        <v>1535</v>
      </c>
      <c r="C3020" s="67">
        <v>34</v>
      </c>
      <c r="D3020" s="68">
        <v>299689</v>
      </c>
      <c r="E3020" s="68">
        <v>83211</v>
      </c>
      <c r="F3020" s="69">
        <v>186419</v>
      </c>
      <c r="G3020" s="69">
        <v>30058</v>
      </c>
      <c r="H3020" s="70">
        <v>0</v>
      </c>
    </row>
    <row r="3021" spans="1:8" ht="18" customHeight="1" x14ac:dyDescent="0.15">
      <c r="A3021" s="250"/>
      <c r="B3021" s="66" t="s">
        <v>1536</v>
      </c>
      <c r="C3021" s="67">
        <v>85</v>
      </c>
      <c r="D3021" s="68">
        <v>0</v>
      </c>
      <c r="E3021" s="68">
        <v>0</v>
      </c>
      <c r="F3021" s="69">
        <v>0</v>
      </c>
      <c r="G3021" s="69">
        <v>0</v>
      </c>
      <c r="H3021" s="70">
        <v>0</v>
      </c>
    </row>
    <row r="3022" spans="1:8" ht="18" customHeight="1" x14ac:dyDescent="0.15">
      <c r="A3022" s="250"/>
      <c r="B3022" s="71" t="s">
        <v>1537</v>
      </c>
      <c r="C3022" s="72">
        <v>1</v>
      </c>
      <c r="D3022" s="73">
        <v>167140</v>
      </c>
      <c r="E3022" s="73">
        <v>126586</v>
      </c>
      <c r="F3022" s="74">
        <v>8344</v>
      </c>
      <c r="G3022" s="74">
        <v>30527</v>
      </c>
      <c r="H3022" s="75">
        <v>1682</v>
      </c>
    </row>
    <row r="3023" spans="1:8" ht="18" customHeight="1" x14ac:dyDescent="0.15">
      <c r="A3023" s="250"/>
      <c r="B3023" s="66" t="s">
        <v>1538</v>
      </c>
      <c r="C3023" s="67">
        <v>63</v>
      </c>
      <c r="D3023" s="68">
        <v>12427603</v>
      </c>
      <c r="E3023" s="68">
        <v>3387016</v>
      </c>
      <c r="F3023" s="69">
        <v>3168645</v>
      </c>
      <c r="G3023" s="69">
        <v>5796156</v>
      </c>
      <c r="H3023" s="70">
        <v>75785</v>
      </c>
    </row>
    <row r="3024" spans="1:8" ht="13.5" x14ac:dyDescent="0.15">
      <c r="A3024" s="250"/>
      <c r="B3024" s="76" t="s">
        <v>1539</v>
      </c>
      <c r="C3024" s="67">
        <v>180</v>
      </c>
      <c r="D3024" s="68">
        <v>33404207</v>
      </c>
      <c r="E3024" s="68">
        <v>3649171</v>
      </c>
      <c r="F3024" s="69">
        <v>1415141</v>
      </c>
      <c r="G3024" s="69">
        <v>28277103</v>
      </c>
      <c r="H3024" s="70">
        <v>62790</v>
      </c>
    </row>
    <row r="3025" spans="1:8" ht="18" customHeight="1" x14ac:dyDescent="0.15">
      <c r="A3025" s="251"/>
      <c r="B3025" s="77" t="s">
        <v>1540</v>
      </c>
      <c r="C3025" s="72">
        <v>40</v>
      </c>
      <c r="D3025" s="73">
        <v>260303</v>
      </c>
      <c r="E3025" s="73">
        <v>234734</v>
      </c>
      <c r="F3025" s="74">
        <v>3437</v>
      </c>
      <c r="G3025" s="74">
        <v>21372</v>
      </c>
      <c r="H3025" s="75">
        <v>758</v>
      </c>
    </row>
    <row r="3026" spans="1:8" ht="18" customHeight="1" x14ac:dyDescent="0.15">
      <c r="A3026" s="30" t="s">
        <v>1541</v>
      </c>
      <c r="B3026" s="78" t="s">
        <v>1542</v>
      </c>
      <c r="C3026" s="79">
        <v>31</v>
      </c>
      <c r="D3026" s="80">
        <v>104861</v>
      </c>
      <c r="E3026" s="80">
        <v>97128</v>
      </c>
      <c r="F3026" s="81">
        <v>6061</v>
      </c>
      <c r="G3026" s="81">
        <v>542</v>
      </c>
      <c r="H3026" s="82">
        <v>1127</v>
      </c>
    </row>
    <row r="3027" spans="1:8" ht="18" customHeight="1" x14ac:dyDescent="0.15">
      <c r="A3027" s="252" t="s">
        <v>1543</v>
      </c>
      <c r="B3027" s="17" t="s">
        <v>1544</v>
      </c>
      <c r="C3027" s="16">
        <v>3121</v>
      </c>
      <c r="D3027" s="83">
        <v>61029796</v>
      </c>
      <c r="E3027" s="83">
        <v>9278901</v>
      </c>
      <c r="F3027" s="84">
        <v>10364294</v>
      </c>
      <c r="G3027" s="84">
        <v>33391915</v>
      </c>
      <c r="H3027" s="85">
        <v>7994684</v>
      </c>
    </row>
    <row r="3028" spans="1:8" ht="18" customHeight="1" x14ac:dyDescent="0.15">
      <c r="A3028" s="250"/>
      <c r="B3028" s="23" t="s">
        <v>1545</v>
      </c>
      <c r="C3028" s="22">
        <v>3104</v>
      </c>
      <c r="D3028" s="86">
        <v>14335112</v>
      </c>
      <c r="E3028" s="86">
        <v>643525</v>
      </c>
      <c r="F3028" s="87">
        <v>3747868</v>
      </c>
      <c r="G3028" s="87">
        <v>8158095</v>
      </c>
      <c r="H3028" s="88">
        <v>1785623</v>
      </c>
    </row>
    <row r="3029" spans="1:8" ht="18" customHeight="1" x14ac:dyDescent="0.15">
      <c r="A3029" s="250"/>
      <c r="B3029" s="24" t="s">
        <v>1546</v>
      </c>
      <c r="C3029" s="22">
        <v>622</v>
      </c>
      <c r="D3029" s="86">
        <v>32102560</v>
      </c>
      <c r="E3029" s="86">
        <v>2193432</v>
      </c>
      <c r="F3029" s="87">
        <v>7821781</v>
      </c>
      <c r="G3029" s="87">
        <v>16006052</v>
      </c>
      <c r="H3029" s="88">
        <v>6081294</v>
      </c>
    </row>
    <row r="3030" spans="1:8" ht="13.5" x14ac:dyDescent="0.15">
      <c r="A3030" s="250"/>
      <c r="B3030" s="23" t="s">
        <v>1547</v>
      </c>
      <c r="C3030" s="22">
        <v>1664</v>
      </c>
      <c r="D3030" s="86">
        <v>49144200</v>
      </c>
      <c r="E3030" s="86">
        <v>4632065</v>
      </c>
      <c r="F3030" s="87">
        <v>9139676</v>
      </c>
      <c r="G3030" s="87">
        <v>31146272</v>
      </c>
      <c r="H3030" s="88">
        <v>4226185</v>
      </c>
    </row>
    <row r="3031" spans="1:8" ht="18" customHeight="1" x14ac:dyDescent="0.15">
      <c r="A3031" s="250"/>
      <c r="B3031" s="23" t="s">
        <v>1548</v>
      </c>
      <c r="C3031" s="22">
        <v>301</v>
      </c>
      <c r="D3031" s="86">
        <v>4332606</v>
      </c>
      <c r="E3031" s="86">
        <v>276445</v>
      </c>
      <c r="F3031" s="87">
        <v>108070</v>
      </c>
      <c r="G3031" s="87">
        <v>3900249</v>
      </c>
      <c r="H3031" s="88">
        <v>47839</v>
      </c>
    </row>
    <row r="3032" spans="1:8" ht="18" customHeight="1" x14ac:dyDescent="0.15">
      <c r="A3032" s="250"/>
      <c r="B3032" s="23" t="s">
        <v>1549</v>
      </c>
      <c r="C3032" s="22">
        <v>120</v>
      </c>
      <c r="D3032" s="86">
        <v>1123600</v>
      </c>
      <c r="E3032" s="86">
        <v>259900</v>
      </c>
      <c r="F3032" s="87">
        <v>76500</v>
      </c>
      <c r="G3032" s="87">
        <v>510480</v>
      </c>
      <c r="H3032" s="88">
        <v>276720</v>
      </c>
    </row>
    <row r="3033" spans="1:8" ht="18" customHeight="1" x14ac:dyDescent="0.15">
      <c r="A3033" s="250"/>
      <c r="B3033" s="23" t="s">
        <v>1550</v>
      </c>
      <c r="C3033" s="22">
        <v>28</v>
      </c>
      <c r="D3033" s="86">
        <v>227421</v>
      </c>
      <c r="E3033" s="86">
        <v>122487</v>
      </c>
      <c r="F3033" s="87">
        <v>14710</v>
      </c>
      <c r="G3033" s="87">
        <v>49105</v>
      </c>
      <c r="H3033" s="88">
        <v>41119</v>
      </c>
    </row>
    <row r="3034" spans="1:8" ht="18" customHeight="1" x14ac:dyDescent="0.15">
      <c r="A3034" s="250"/>
      <c r="B3034" s="23" t="s">
        <v>1551</v>
      </c>
      <c r="C3034" s="22">
        <v>0</v>
      </c>
      <c r="D3034" s="86">
        <v>0</v>
      </c>
      <c r="E3034" s="86">
        <v>0</v>
      </c>
      <c r="F3034" s="87">
        <v>0</v>
      </c>
      <c r="G3034" s="87">
        <v>0</v>
      </c>
      <c r="H3034" s="88">
        <v>0</v>
      </c>
    </row>
    <row r="3035" spans="1:8" ht="18" customHeight="1" x14ac:dyDescent="0.15">
      <c r="A3035" s="250"/>
      <c r="B3035" s="23" t="s">
        <v>1552</v>
      </c>
      <c r="C3035" s="22">
        <v>244</v>
      </c>
      <c r="D3035" s="86">
        <v>8800830</v>
      </c>
      <c r="E3035" s="86">
        <v>789960</v>
      </c>
      <c r="F3035" s="87">
        <v>2766890</v>
      </c>
      <c r="G3035" s="87">
        <v>3367500</v>
      </c>
      <c r="H3035" s="88">
        <v>1876480</v>
      </c>
    </row>
    <row r="3036" spans="1:8" ht="13.5" x14ac:dyDescent="0.15">
      <c r="A3036" s="250"/>
      <c r="B3036" s="23" t="s">
        <v>1553</v>
      </c>
      <c r="C3036" s="22">
        <v>3140</v>
      </c>
      <c r="D3036" s="86">
        <v>61564399</v>
      </c>
      <c r="E3036" s="86">
        <v>13708711</v>
      </c>
      <c r="F3036" s="87">
        <v>9813374</v>
      </c>
      <c r="G3036" s="87">
        <v>31193991</v>
      </c>
      <c r="H3036" s="88">
        <v>6848322</v>
      </c>
    </row>
    <row r="3037" spans="1:8" ht="13.5" x14ac:dyDescent="0.15">
      <c r="A3037" s="250"/>
      <c r="B3037" s="23" t="s">
        <v>1554</v>
      </c>
      <c r="C3037" s="22">
        <v>604</v>
      </c>
      <c r="D3037" s="86">
        <v>14702860</v>
      </c>
      <c r="E3037" s="86">
        <v>2350205</v>
      </c>
      <c r="F3037" s="87">
        <v>2802009</v>
      </c>
      <c r="G3037" s="87">
        <v>8172671</v>
      </c>
      <c r="H3037" s="88">
        <v>1377974</v>
      </c>
    </row>
    <row r="3038" spans="1:8" ht="18" customHeight="1" x14ac:dyDescent="0.15">
      <c r="A3038" s="250"/>
      <c r="B3038" s="23" t="s">
        <v>1555</v>
      </c>
      <c r="C3038" s="22">
        <v>50408</v>
      </c>
      <c r="D3038" s="86">
        <v>13018117</v>
      </c>
      <c r="E3038" s="86">
        <v>929011</v>
      </c>
      <c r="F3038" s="87">
        <v>5604676</v>
      </c>
      <c r="G3038" s="87">
        <v>6121358</v>
      </c>
      <c r="H3038" s="88">
        <v>363070</v>
      </c>
    </row>
    <row r="3039" spans="1:8" ht="13.5" x14ac:dyDescent="0.15">
      <c r="A3039" s="250"/>
      <c r="B3039" s="23" t="s">
        <v>1556</v>
      </c>
      <c r="C3039" s="22">
        <v>604</v>
      </c>
      <c r="D3039" s="86">
        <v>1529250</v>
      </c>
      <c r="E3039" s="86">
        <v>31921</v>
      </c>
      <c r="F3039" s="87">
        <v>1074315</v>
      </c>
      <c r="G3039" s="87">
        <v>423013</v>
      </c>
      <c r="H3039" s="88">
        <v>0</v>
      </c>
    </row>
    <row r="3040" spans="1:8" ht="24" customHeight="1" x14ac:dyDescent="0.15">
      <c r="A3040" s="250"/>
      <c r="B3040" s="23" t="s">
        <v>1557</v>
      </c>
      <c r="C3040" s="22">
        <v>51</v>
      </c>
      <c r="D3040" s="86">
        <v>398300</v>
      </c>
      <c r="E3040" s="86">
        <v>124336</v>
      </c>
      <c r="F3040" s="87">
        <v>51400</v>
      </c>
      <c r="G3040" s="87">
        <v>179443</v>
      </c>
      <c r="H3040" s="88">
        <v>43121</v>
      </c>
    </row>
    <row r="3041" spans="1:8" ht="18" customHeight="1" x14ac:dyDescent="0.15">
      <c r="A3041" s="250"/>
      <c r="B3041" s="23" t="s">
        <v>1558</v>
      </c>
      <c r="C3041" s="22">
        <v>444</v>
      </c>
      <c r="D3041" s="86">
        <v>2388407</v>
      </c>
      <c r="E3041" s="86">
        <v>193122</v>
      </c>
      <c r="F3041" s="87">
        <v>1179110</v>
      </c>
      <c r="G3041" s="87">
        <v>960675</v>
      </c>
      <c r="H3041" s="88">
        <v>55500</v>
      </c>
    </row>
    <row r="3042" spans="1:8" ht="13.5" x14ac:dyDescent="0.15">
      <c r="A3042" s="250"/>
      <c r="B3042" s="23" t="s">
        <v>1559</v>
      </c>
      <c r="C3042" s="22">
        <v>295</v>
      </c>
      <c r="D3042" s="86">
        <v>7897900</v>
      </c>
      <c r="E3042" s="86">
        <v>774970</v>
      </c>
      <c r="F3042" s="87">
        <v>1376300</v>
      </c>
      <c r="G3042" s="87">
        <v>5203800</v>
      </c>
      <c r="H3042" s="88">
        <v>542830</v>
      </c>
    </row>
    <row r="3043" spans="1:8" ht="18" customHeight="1" x14ac:dyDescent="0.15">
      <c r="A3043" s="250"/>
      <c r="B3043" s="23" t="s">
        <v>1560</v>
      </c>
      <c r="C3043" s="22">
        <v>49</v>
      </c>
      <c r="D3043" s="86">
        <v>1883600</v>
      </c>
      <c r="E3043" s="86">
        <v>176900</v>
      </c>
      <c r="F3043" s="87">
        <v>629700</v>
      </c>
      <c r="G3043" s="87">
        <v>922700</v>
      </c>
      <c r="H3043" s="88">
        <v>154300</v>
      </c>
    </row>
    <row r="3044" spans="1:8" ht="18" customHeight="1" x14ac:dyDescent="0.15">
      <c r="A3044" s="250"/>
      <c r="B3044" s="23" t="s">
        <v>1561</v>
      </c>
      <c r="C3044" s="22">
        <v>0</v>
      </c>
      <c r="D3044" s="86">
        <v>0</v>
      </c>
      <c r="E3044" s="86">
        <v>0</v>
      </c>
      <c r="F3044" s="87">
        <v>0</v>
      </c>
      <c r="G3044" s="87">
        <v>0</v>
      </c>
      <c r="H3044" s="88">
        <v>0</v>
      </c>
    </row>
    <row r="3045" spans="1:8" ht="13.5" x14ac:dyDescent="0.15">
      <c r="A3045" s="250"/>
      <c r="B3045" s="23" t="s">
        <v>1562</v>
      </c>
      <c r="C3045" s="22">
        <v>3</v>
      </c>
      <c r="D3045" s="86">
        <v>10800</v>
      </c>
      <c r="E3045" s="86">
        <v>0</v>
      </c>
      <c r="F3045" s="87">
        <v>0</v>
      </c>
      <c r="G3045" s="87">
        <v>10800</v>
      </c>
      <c r="H3045" s="88">
        <v>0</v>
      </c>
    </row>
    <row r="3046" spans="1:8" ht="18" customHeight="1" x14ac:dyDescent="0.15">
      <c r="A3046" s="250"/>
      <c r="B3046" s="23" t="s">
        <v>1563</v>
      </c>
      <c r="C3046" s="22">
        <v>1</v>
      </c>
      <c r="D3046" s="86">
        <v>3000</v>
      </c>
      <c r="E3046" s="86">
        <v>100</v>
      </c>
      <c r="F3046" s="87">
        <v>500</v>
      </c>
      <c r="G3046" s="87">
        <v>1600</v>
      </c>
      <c r="H3046" s="88">
        <v>800</v>
      </c>
    </row>
    <row r="3047" spans="1:8" ht="18" customHeight="1" x14ac:dyDescent="0.15">
      <c r="A3047" s="251"/>
      <c r="B3047" s="23" t="s">
        <v>1564</v>
      </c>
      <c r="C3047" s="22">
        <v>17</v>
      </c>
      <c r="D3047" s="86">
        <v>9981</v>
      </c>
      <c r="E3047" s="86">
        <v>466</v>
      </c>
      <c r="F3047" s="87">
        <v>8000</v>
      </c>
      <c r="G3047" s="87">
        <v>1515</v>
      </c>
      <c r="H3047" s="88">
        <v>0</v>
      </c>
    </row>
    <row r="3048" spans="1:8" ht="13.5" x14ac:dyDescent="0.15">
      <c r="A3048" s="18" t="s">
        <v>1565</v>
      </c>
      <c r="B3048" s="17" t="s">
        <v>1566</v>
      </c>
      <c r="C3048" s="16">
        <v>3245</v>
      </c>
      <c r="D3048" s="80">
        <v>17252786</v>
      </c>
      <c r="E3048" s="80">
        <v>826100</v>
      </c>
      <c r="F3048" s="81">
        <v>7202035</v>
      </c>
      <c r="G3048" s="81">
        <v>5970451</v>
      </c>
      <c r="H3048" s="82">
        <v>3254200</v>
      </c>
    </row>
    <row r="3049" spans="1:8" ht="18" customHeight="1" x14ac:dyDescent="0.15">
      <c r="A3049" s="252" t="s">
        <v>1567</v>
      </c>
      <c r="B3049" s="12" t="s">
        <v>1568</v>
      </c>
      <c r="C3049" s="11">
        <v>5976</v>
      </c>
      <c r="D3049" s="89">
        <v>77549463</v>
      </c>
      <c r="E3049" s="89">
        <v>47609753</v>
      </c>
      <c r="F3049" s="90">
        <v>12571326</v>
      </c>
      <c r="G3049" s="90">
        <v>10833001</v>
      </c>
      <c r="H3049" s="91">
        <v>6535381</v>
      </c>
    </row>
    <row r="3050" spans="1:8" ht="18" customHeight="1" thickBot="1" x14ac:dyDescent="0.2">
      <c r="A3050" s="253"/>
      <c r="B3050" s="7" t="s">
        <v>1569</v>
      </c>
      <c r="C3050" s="6">
        <v>5741</v>
      </c>
      <c r="D3050" s="92" t="s">
        <v>1570</v>
      </c>
      <c r="E3050" s="92" t="s">
        <v>54</v>
      </c>
      <c r="F3050" s="92" t="s">
        <v>54</v>
      </c>
      <c r="G3050" s="92" t="s">
        <v>54</v>
      </c>
      <c r="H3050" s="93" t="s">
        <v>54</v>
      </c>
    </row>
    <row r="3051" spans="1:8" ht="12" x14ac:dyDescent="0.15">
      <c r="A3051" s="3" t="s">
        <v>1571</v>
      </c>
      <c r="B3051" s="2"/>
      <c r="C3051" s="2"/>
      <c r="D3051" s="2"/>
      <c r="E3051" s="2"/>
      <c r="F3051" s="2"/>
      <c r="G3051" s="2"/>
      <c r="H3051" s="2"/>
    </row>
    <row r="3052" spans="1:8" ht="18" customHeight="1" x14ac:dyDescent="0.15">
      <c r="A3052" s="3" t="s">
        <v>2587</v>
      </c>
      <c r="B3052" s="2"/>
      <c r="C3052" s="2"/>
      <c r="D3052" s="2"/>
      <c r="E3052" s="2"/>
      <c r="F3052" s="2"/>
      <c r="G3052" s="2"/>
      <c r="H3052" s="2"/>
    </row>
    <row r="3053" spans="1:8" ht="18" customHeight="1" x14ac:dyDescent="0.15">
      <c r="A3053" s="3" t="s">
        <v>1572</v>
      </c>
      <c r="B3053" s="2"/>
      <c r="C3053" s="2"/>
      <c r="D3053" s="2"/>
      <c r="E3053" s="2"/>
      <c r="F3053" s="2"/>
      <c r="G3053" s="2"/>
      <c r="H3053" s="2"/>
    </row>
    <row r="3054" spans="1:8" ht="12" x14ac:dyDescent="0.15">
      <c r="A3054" s="3" t="s">
        <v>1573</v>
      </c>
      <c r="B3054" s="2"/>
      <c r="C3054" s="2"/>
      <c r="D3054" s="2"/>
      <c r="E3054" s="2"/>
      <c r="F3054" s="2"/>
      <c r="G3054" s="2"/>
      <c r="H3054" s="2"/>
    </row>
    <row r="3055" spans="1:8" ht="18" customHeight="1" x14ac:dyDescent="0.15">
      <c r="A3055" s="230" t="s">
        <v>1470</v>
      </c>
      <c r="B3055" s="230"/>
      <c r="C3055" s="230"/>
      <c r="D3055" s="230"/>
      <c r="E3055" s="230"/>
      <c r="F3055" s="230"/>
      <c r="G3055" s="230"/>
      <c r="H3055" s="230"/>
    </row>
    <row r="3056" spans="1:8" ht="18" customHeight="1" x14ac:dyDescent="0.15">
      <c r="A3056" s="231"/>
      <c r="B3056" s="231"/>
      <c r="C3056" s="231"/>
      <c r="D3056" s="231"/>
      <c r="E3056" s="231"/>
      <c r="F3056" s="231"/>
      <c r="G3056" s="231"/>
      <c r="H3056" s="231"/>
    </row>
    <row r="3057" spans="1:8" ht="18" customHeight="1" thickBot="1" x14ac:dyDescent="0.2">
      <c r="A3057" s="58" t="s">
        <v>1471</v>
      </c>
    </row>
    <row r="3058" spans="1:8" ht="18" customHeight="1" x14ac:dyDescent="0.15">
      <c r="A3058" s="232" t="s">
        <v>1472</v>
      </c>
      <c r="B3058" s="235" t="s">
        <v>1473</v>
      </c>
      <c r="C3058" s="238" t="s">
        <v>1474</v>
      </c>
      <c r="D3058" s="241" t="s">
        <v>1475</v>
      </c>
      <c r="E3058" s="57"/>
      <c r="F3058" s="56"/>
      <c r="G3058" s="56"/>
      <c r="H3058" s="55"/>
    </row>
    <row r="3059" spans="1:8" ht="18" customHeight="1" x14ac:dyDescent="0.15">
      <c r="A3059" s="233"/>
      <c r="B3059" s="236"/>
      <c r="C3059" s="239"/>
      <c r="D3059" s="242"/>
      <c r="E3059" s="244" t="s">
        <v>1476</v>
      </c>
      <c r="F3059" s="246" t="s">
        <v>1477</v>
      </c>
      <c r="G3059" s="246" t="s">
        <v>1478</v>
      </c>
      <c r="H3059" s="248" t="s">
        <v>1479</v>
      </c>
    </row>
    <row r="3060" spans="1:8" ht="18" customHeight="1" thickBot="1" x14ac:dyDescent="0.2">
      <c r="A3060" s="234"/>
      <c r="B3060" s="237"/>
      <c r="C3060" s="240"/>
      <c r="D3060" s="243"/>
      <c r="E3060" s="245"/>
      <c r="F3060" s="247"/>
      <c r="G3060" s="247"/>
      <c r="H3060" s="249"/>
    </row>
    <row r="3061" spans="1:8" ht="18" customHeight="1" thickTop="1" x14ac:dyDescent="0.15">
      <c r="A3061" s="54"/>
      <c r="B3061" s="53"/>
      <c r="C3061" s="52"/>
      <c r="D3061" s="51" t="s">
        <v>1480</v>
      </c>
      <c r="E3061" s="50" t="s">
        <v>1480</v>
      </c>
      <c r="F3061" s="49" t="s">
        <v>1480</v>
      </c>
      <c r="G3061" s="49" t="s">
        <v>1480</v>
      </c>
      <c r="H3061" s="48" t="s">
        <v>1480</v>
      </c>
    </row>
    <row r="3062" spans="1:8" ht="18" customHeight="1" x14ac:dyDescent="0.15">
      <c r="A3062" s="250" t="s">
        <v>1481</v>
      </c>
      <c r="B3062" s="61" t="s">
        <v>1482</v>
      </c>
      <c r="C3062" s="62">
        <v>3725</v>
      </c>
      <c r="D3062" s="63">
        <v>697539522</v>
      </c>
      <c r="E3062" s="63">
        <v>260044629</v>
      </c>
      <c r="F3062" s="64">
        <v>216620179</v>
      </c>
      <c r="G3062" s="64">
        <v>215550168</v>
      </c>
      <c r="H3062" s="65">
        <v>5324544</v>
      </c>
    </row>
    <row r="3063" spans="1:8" ht="18" customHeight="1" x14ac:dyDescent="0.15">
      <c r="A3063" s="250"/>
      <c r="B3063" s="66" t="s">
        <v>1483</v>
      </c>
      <c r="C3063" s="67">
        <v>34</v>
      </c>
      <c r="D3063" s="68">
        <v>310207</v>
      </c>
      <c r="E3063" s="68">
        <v>84958</v>
      </c>
      <c r="F3063" s="69">
        <v>195450</v>
      </c>
      <c r="G3063" s="69">
        <v>29798</v>
      </c>
      <c r="H3063" s="70">
        <v>0</v>
      </c>
    </row>
    <row r="3064" spans="1:8" ht="13.5" x14ac:dyDescent="0.15">
      <c r="A3064" s="250"/>
      <c r="B3064" s="66" t="s">
        <v>1484</v>
      </c>
      <c r="C3064" s="67">
        <v>84</v>
      </c>
      <c r="D3064" s="68">
        <v>0</v>
      </c>
      <c r="E3064" s="68">
        <v>0</v>
      </c>
      <c r="F3064" s="69">
        <v>0</v>
      </c>
      <c r="G3064" s="69">
        <v>0</v>
      </c>
      <c r="H3064" s="70">
        <v>0</v>
      </c>
    </row>
    <row r="3065" spans="1:8" ht="18" customHeight="1" x14ac:dyDescent="0.15">
      <c r="A3065" s="250"/>
      <c r="B3065" s="71" t="s">
        <v>1485</v>
      </c>
      <c r="C3065" s="72">
        <v>1</v>
      </c>
      <c r="D3065" s="73">
        <v>166644</v>
      </c>
      <c r="E3065" s="73">
        <v>126205</v>
      </c>
      <c r="F3065" s="74">
        <v>8325</v>
      </c>
      <c r="G3065" s="74">
        <v>30436</v>
      </c>
      <c r="H3065" s="75">
        <v>1677</v>
      </c>
    </row>
    <row r="3066" spans="1:8" ht="18" customHeight="1" x14ac:dyDescent="0.15">
      <c r="A3066" s="250"/>
      <c r="B3066" s="66" t="s">
        <v>1486</v>
      </c>
      <c r="C3066" s="67">
        <v>64</v>
      </c>
      <c r="D3066" s="68">
        <v>12255504</v>
      </c>
      <c r="E3066" s="68">
        <v>3364790</v>
      </c>
      <c r="F3066" s="69">
        <v>3173674</v>
      </c>
      <c r="G3066" s="69">
        <v>5658822</v>
      </c>
      <c r="H3066" s="70">
        <v>58217</v>
      </c>
    </row>
    <row r="3067" spans="1:8" ht="18" customHeight="1" x14ac:dyDescent="0.15">
      <c r="A3067" s="250"/>
      <c r="B3067" s="76" t="s">
        <v>1487</v>
      </c>
      <c r="C3067" s="67">
        <v>179</v>
      </c>
      <c r="D3067" s="68">
        <v>33958388</v>
      </c>
      <c r="E3067" s="68">
        <v>3937178</v>
      </c>
      <c r="F3067" s="69">
        <v>1516297</v>
      </c>
      <c r="G3067" s="69">
        <v>28455312</v>
      </c>
      <c r="H3067" s="70">
        <v>49599</v>
      </c>
    </row>
    <row r="3068" spans="1:8" ht="18" customHeight="1" x14ac:dyDescent="0.15">
      <c r="A3068" s="251"/>
      <c r="B3068" s="77" t="s">
        <v>1488</v>
      </c>
      <c r="C3068" s="72">
        <v>40</v>
      </c>
      <c r="D3068" s="73">
        <v>252213</v>
      </c>
      <c r="E3068" s="73">
        <v>225882</v>
      </c>
      <c r="F3068" s="74">
        <v>3981</v>
      </c>
      <c r="G3068" s="74">
        <v>21398</v>
      </c>
      <c r="H3068" s="75">
        <v>951</v>
      </c>
    </row>
    <row r="3069" spans="1:8" ht="18" customHeight="1" x14ac:dyDescent="0.15">
      <c r="A3069" s="30" t="s">
        <v>1489</v>
      </c>
      <c r="B3069" s="78" t="s">
        <v>1490</v>
      </c>
      <c r="C3069" s="79">
        <v>31</v>
      </c>
      <c r="D3069" s="80">
        <v>110256</v>
      </c>
      <c r="E3069" s="80">
        <v>105703</v>
      </c>
      <c r="F3069" s="81">
        <v>2623</v>
      </c>
      <c r="G3069" s="81">
        <v>673</v>
      </c>
      <c r="H3069" s="82">
        <v>1254</v>
      </c>
    </row>
    <row r="3070" spans="1:8" ht="18" customHeight="1" x14ac:dyDescent="0.15">
      <c r="A3070" s="252" t="s">
        <v>1491</v>
      </c>
      <c r="B3070" s="17" t="s">
        <v>1492</v>
      </c>
      <c r="C3070" s="16">
        <v>3108</v>
      </c>
      <c r="D3070" s="83">
        <v>60747396</v>
      </c>
      <c r="E3070" s="83">
        <v>9330587</v>
      </c>
      <c r="F3070" s="84">
        <v>10267760</v>
      </c>
      <c r="G3070" s="84">
        <v>33283999</v>
      </c>
      <c r="H3070" s="85">
        <v>7865049</v>
      </c>
    </row>
    <row r="3071" spans="1:8" ht="18" customHeight="1" x14ac:dyDescent="0.15">
      <c r="A3071" s="250"/>
      <c r="B3071" s="23" t="s">
        <v>1493</v>
      </c>
      <c r="C3071" s="22">
        <v>3048</v>
      </c>
      <c r="D3071" s="86">
        <v>14235765</v>
      </c>
      <c r="E3071" s="86">
        <v>586617</v>
      </c>
      <c r="F3071" s="87">
        <v>3644066</v>
      </c>
      <c r="G3071" s="87">
        <v>8155809</v>
      </c>
      <c r="H3071" s="88">
        <v>1849272</v>
      </c>
    </row>
    <row r="3072" spans="1:8" ht="18" customHeight="1" x14ac:dyDescent="0.15">
      <c r="A3072" s="250"/>
      <c r="B3072" s="24" t="s">
        <v>1494</v>
      </c>
      <c r="C3072" s="22">
        <v>623</v>
      </c>
      <c r="D3072" s="86">
        <v>32212560</v>
      </c>
      <c r="E3072" s="86">
        <v>2036002</v>
      </c>
      <c r="F3072" s="87">
        <v>7288409</v>
      </c>
      <c r="G3072" s="87">
        <v>16312361</v>
      </c>
      <c r="H3072" s="88">
        <v>6575786</v>
      </c>
    </row>
    <row r="3073" spans="1:8" ht="18" customHeight="1" x14ac:dyDescent="0.15">
      <c r="A3073" s="250"/>
      <c r="B3073" s="23" t="s">
        <v>1495</v>
      </c>
      <c r="C3073" s="22">
        <v>1656</v>
      </c>
      <c r="D3073" s="86">
        <v>48832800</v>
      </c>
      <c r="E3073" s="86">
        <v>4574325</v>
      </c>
      <c r="F3073" s="87">
        <v>8785237</v>
      </c>
      <c r="G3073" s="87">
        <v>31285512</v>
      </c>
      <c r="H3073" s="88">
        <v>4187725</v>
      </c>
    </row>
    <row r="3074" spans="1:8" ht="18" customHeight="1" x14ac:dyDescent="0.15">
      <c r="A3074" s="250"/>
      <c r="B3074" s="23" t="s">
        <v>1496</v>
      </c>
      <c r="C3074" s="22">
        <v>294</v>
      </c>
      <c r="D3074" s="86">
        <v>4303106</v>
      </c>
      <c r="E3074" s="86">
        <v>272642</v>
      </c>
      <c r="F3074" s="87">
        <v>108070</v>
      </c>
      <c r="G3074" s="87">
        <v>3874749</v>
      </c>
      <c r="H3074" s="88">
        <v>47642</v>
      </c>
    </row>
    <row r="3075" spans="1:8" ht="18" customHeight="1" x14ac:dyDescent="0.15">
      <c r="A3075" s="250"/>
      <c r="B3075" s="23" t="s">
        <v>1497</v>
      </c>
      <c r="C3075" s="22">
        <v>120</v>
      </c>
      <c r="D3075" s="86">
        <v>1123600</v>
      </c>
      <c r="E3075" s="86">
        <v>261300</v>
      </c>
      <c r="F3075" s="87">
        <v>75700</v>
      </c>
      <c r="G3075" s="87">
        <v>510280</v>
      </c>
      <c r="H3075" s="88">
        <v>276320</v>
      </c>
    </row>
    <row r="3076" spans="1:8" ht="13.5" x14ac:dyDescent="0.15">
      <c r="A3076" s="250"/>
      <c r="B3076" s="23" t="s">
        <v>1498</v>
      </c>
      <c r="C3076" s="22">
        <v>28</v>
      </c>
      <c r="D3076" s="86">
        <v>227421</v>
      </c>
      <c r="E3076" s="86">
        <v>122487</v>
      </c>
      <c r="F3076" s="87">
        <v>14710</v>
      </c>
      <c r="G3076" s="87">
        <v>49105</v>
      </c>
      <c r="H3076" s="88">
        <v>41119</v>
      </c>
    </row>
    <row r="3077" spans="1:8" ht="13.5" x14ac:dyDescent="0.15">
      <c r="A3077" s="250"/>
      <c r="B3077" s="23" t="s">
        <v>1499</v>
      </c>
      <c r="C3077" s="22">
        <v>0</v>
      </c>
      <c r="D3077" s="86">
        <v>0</v>
      </c>
      <c r="E3077" s="86">
        <v>0</v>
      </c>
      <c r="F3077" s="87">
        <v>0</v>
      </c>
      <c r="G3077" s="87">
        <v>0</v>
      </c>
      <c r="H3077" s="88">
        <v>0</v>
      </c>
    </row>
    <row r="3078" spans="1:8" ht="18" customHeight="1" x14ac:dyDescent="0.15">
      <c r="A3078" s="250"/>
      <c r="B3078" s="23" t="s">
        <v>1500</v>
      </c>
      <c r="C3078" s="22">
        <v>244</v>
      </c>
      <c r="D3078" s="86">
        <v>8891760</v>
      </c>
      <c r="E3078" s="86">
        <v>813060</v>
      </c>
      <c r="F3078" s="87">
        <v>2771060</v>
      </c>
      <c r="G3078" s="87">
        <v>3383760</v>
      </c>
      <c r="H3078" s="88">
        <v>1923880</v>
      </c>
    </row>
    <row r="3079" spans="1:8" ht="13.5" x14ac:dyDescent="0.15">
      <c r="A3079" s="250"/>
      <c r="B3079" s="23" t="s">
        <v>1501</v>
      </c>
      <c r="C3079" s="22">
        <v>3114</v>
      </c>
      <c r="D3079" s="86">
        <v>61393725</v>
      </c>
      <c r="E3079" s="86">
        <v>13665995</v>
      </c>
      <c r="F3079" s="87">
        <v>9734783</v>
      </c>
      <c r="G3079" s="87">
        <v>31195883</v>
      </c>
      <c r="H3079" s="88">
        <v>6797063</v>
      </c>
    </row>
    <row r="3080" spans="1:8" ht="24" customHeight="1" x14ac:dyDescent="0.15">
      <c r="A3080" s="250"/>
      <c r="B3080" s="23" t="s">
        <v>1502</v>
      </c>
      <c r="C3080" s="22">
        <v>594</v>
      </c>
      <c r="D3080" s="86">
        <v>14560210</v>
      </c>
      <c r="E3080" s="86">
        <v>2289190</v>
      </c>
      <c r="F3080" s="87">
        <v>2777604</v>
      </c>
      <c r="G3080" s="87">
        <v>8134900</v>
      </c>
      <c r="H3080" s="88">
        <v>1358515</v>
      </c>
    </row>
    <row r="3081" spans="1:8" ht="18" customHeight="1" x14ac:dyDescent="0.15">
      <c r="A3081" s="250"/>
      <c r="B3081" s="23" t="s">
        <v>1503</v>
      </c>
      <c r="C3081" s="22">
        <v>50184</v>
      </c>
      <c r="D3081" s="86">
        <v>13006614</v>
      </c>
      <c r="E3081" s="86">
        <v>924663</v>
      </c>
      <c r="F3081" s="87">
        <v>5585218</v>
      </c>
      <c r="G3081" s="87">
        <v>6134872</v>
      </c>
      <c r="H3081" s="88">
        <v>361860</v>
      </c>
    </row>
    <row r="3082" spans="1:8" ht="13.5" x14ac:dyDescent="0.15">
      <c r="A3082" s="250"/>
      <c r="B3082" s="23" t="s">
        <v>1504</v>
      </c>
      <c r="C3082" s="22">
        <v>646</v>
      </c>
      <c r="D3082" s="86">
        <v>1554601</v>
      </c>
      <c r="E3082" s="86">
        <v>31921</v>
      </c>
      <c r="F3082" s="87">
        <v>1074315</v>
      </c>
      <c r="G3082" s="87">
        <v>448365</v>
      </c>
      <c r="H3082" s="88">
        <v>0</v>
      </c>
    </row>
    <row r="3083" spans="1:8" ht="18" customHeight="1" x14ac:dyDescent="0.15">
      <c r="A3083" s="250"/>
      <c r="B3083" s="23" t="s">
        <v>1505</v>
      </c>
      <c r="C3083" s="22">
        <v>51</v>
      </c>
      <c r="D3083" s="86">
        <v>398300</v>
      </c>
      <c r="E3083" s="86">
        <v>122442</v>
      </c>
      <c r="F3083" s="87">
        <v>52700</v>
      </c>
      <c r="G3083" s="87">
        <v>180137</v>
      </c>
      <c r="H3083" s="88">
        <v>43021</v>
      </c>
    </row>
    <row r="3084" spans="1:8" ht="18" customHeight="1" x14ac:dyDescent="0.15">
      <c r="A3084" s="250"/>
      <c r="B3084" s="23" t="s">
        <v>1506</v>
      </c>
      <c r="C3084" s="22">
        <v>443</v>
      </c>
      <c r="D3084" s="86">
        <v>2398411</v>
      </c>
      <c r="E3084" s="86">
        <v>197387</v>
      </c>
      <c r="F3084" s="87">
        <v>1202908</v>
      </c>
      <c r="G3084" s="87">
        <v>942615</v>
      </c>
      <c r="H3084" s="88">
        <v>55500</v>
      </c>
    </row>
    <row r="3085" spans="1:8" ht="13.5" x14ac:dyDescent="0.15">
      <c r="A3085" s="250"/>
      <c r="B3085" s="23" t="s">
        <v>1507</v>
      </c>
      <c r="C3085" s="22">
        <v>293</v>
      </c>
      <c r="D3085" s="86">
        <v>7825000</v>
      </c>
      <c r="E3085" s="86">
        <v>740270</v>
      </c>
      <c r="F3085" s="87">
        <v>1379100</v>
      </c>
      <c r="G3085" s="87">
        <v>5178900</v>
      </c>
      <c r="H3085" s="88">
        <v>526730</v>
      </c>
    </row>
    <row r="3086" spans="1:8" ht="18" customHeight="1" x14ac:dyDescent="0.15">
      <c r="A3086" s="250"/>
      <c r="B3086" s="23" t="s">
        <v>1508</v>
      </c>
      <c r="C3086" s="22">
        <v>49</v>
      </c>
      <c r="D3086" s="86">
        <v>1883600</v>
      </c>
      <c r="E3086" s="86">
        <v>175600</v>
      </c>
      <c r="F3086" s="87">
        <v>629700</v>
      </c>
      <c r="G3086" s="87">
        <v>926300</v>
      </c>
      <c r="H3086" s="88">
        <v>152000</v>
      </c>
    </row>
    <row r="3087" spans="1:8" ht="18" customHeight="1" x14ac:dyDescent="0.15">
      <c r="A3087" s="250"/>
      <c r="B3087" s="23" t="s">
        <v>1509</v>
      </c>
      <c r="C3087" s="22">
        <v>0</v>
      </c>
      <c r="D3087" s="86">
        <v>0</v>
      </c>
      <c r="E3087" s="86">
        <v>0</v>
      </c>
      <c r="F3087" s="87">
        <v>0</v>
      </c>
      <c r="G3087" s="87">
        <v>0</v>
      </c>
      <c r="H3087" s="88">
        <v>0</v>
      </c>
    </row>
    <row r="3088" spans="1:8" ht="18" customHeight="1" x14ac:dyDescent="0.15">
      <c r="A3088" s="250"/>
      <c r="B3088" s="23" t="s">
        <v>1510</v>
      </c>
      <c r="C3088" s="22">
        <v>3</v>
      </c>
      <c r="D3088" s="86">
        <v>10800</v>
      </c>
      <c r="E3088" s="86">
        <v>0</v>
      </c>
      <c r="F3088" s="87">
        <v>0</v>
      </c>
      <c r="G3088" s="87">
        <v>10800</v>
      </c>
      <c r="H3088" s="88">
        <v>0</v>
      </c>
    </row>
    <row r="3089" spans="1:8" ht="18" customHeight="1" x14ac:dyDescent="0.15">
      <c r="A3089" s="250"/>
      <c r="B3089" s="23" t="s">
        <v>1511</v>
      </c>
      <c r="C3089" s="22">
        <v>1</v>
      </c>
      <c r="D3089" s="86">
        <v>3000</v>
      </c>
      <c r="E3089" s="86">
        <v>100</v>
      </c>
      <c r="F3089" s="87">
        <v>500</v>
      </c>
      <c r="G3089" s="87">
        <v>1600</v>
      </c>
      <c r="H3089" s="88">
        <v>800</v>
      </c>
    </row>
    <row r="3090" spans="1:8" ht="18" customHeight="1" x14ac:dyDescent="0.15">
      <c r="A3090" s="251"/>
      <c r="B3090" s="23" t="s">
        <v>1512</v>
      </c>
      <c r="C3090" s="22">
        <v>15</v>
      </c>
      <c r="D3090" s="86">
        <v>9901</v>
      </c>
      <c r="E3090" s="86">
        <v>466</v>
      </c>
      <c r="F3090" s="87">
        <v>8000</v>
      </c>
      <c r="G3090" s="87">
        <v>1435</v>
      </c>
      <c r="H3090" s="88">
        <v>0</v>
      </c>
    </row>
    <row r="3091" spans="1:8" ht="13.5" x14ac:dyDescent="0.15">
      <c r="A3091" s="18" t="s">
        <v>1513</v>
      </c>
      <c r="B3091" s="17" t="s">
        <v>1514</v>
      </c>
      <c r="C3091" s="16">
        <v>3414</v>
      </c>
      <c r="D3091" s="80">
        <v>16224204</v>
      </c>
      <c r="E3091" s="80">
        <v>843500</v>
      </c>
      <c r="F3091" s="81">
        <v>6502900</v>
      </c>
      <c r="G3091" s="81">
        <v>5685913</v>
      </c>
      <c r="H3091" s="82">
        <v>3191891</v>
      </c>
    </row>
    <row r="3092" spans="1:8" ht="18" customHeight="1" x14ac:dyDescent="0.15">
      <c r="A3092" s="252" t="s">
        <v>1515</v>
      </c>
      <c r="B3092" s="12" t="s">
        <v>1516</v>
      </c>
      <c r="C3092" s="11">
        <v>5978</v>
      </c>
      <c r="D3092" s="89">
        <v>77718875</v>
      </c>
      <c r="E3092" s="89">
        <v>47657713</v>
      </c>
      <c r="F3092" s="90">
        <v>12592054</v>
      </c>
      <c r="G3092" s="90">
        <v>10924799</v>
      </c>
      <c r="H3092" s="91">
        <v>6544307</v>
      </c>
    </row>
    <row r="3093" spans="1:8" ht="18" customHeight="1" thickBot="1" x14ac:dyDescent="0.2">
      <c r="A3093" s="253"/>
      <c r="B3093" s="7" t="s">
        <v>1517</v>
      </c>
      <c r="C3093" s="6">
        <v>5682</v>
      </c>
      <c r="D3093" s="92" t="s">
        <v>1518</v>
      </c>
      <c r="E3093" s="92" t="s">
        <v>54</v>
      </c>
      <c r="F3093" s="92" t="s">
        <v>54</v>
      </c>
      <c r="G3093" s="92" t="s">
        <v>54</v>
      </c>
      <c r="H3093" s="93" t="s">
        <v>54</v>
      </c>
    </row>
    <row r="3094" spans="1:8" ht="12" x14ac:dyDescent="0.15">
      <c r="A3094" s="3" t="s">
        <v>1519</v>
      </c>
      <c r="B3094" s="2"/>
      <c r="C3094" s="2"/>
      <c r="D3094" s="2"/>
      <c r="E3094" s="2"/>
      <c r="F3094" s="2"/>
      <c r="G3094" s="2"/>
      <c r="H3094" s="2"/>
    </row>
    <row r="3095" spans="1:8" ht="18" customHeight="1" x14ac:dyDescent="0.15">
      <c r="A3095" s="3" t="s">
        <v>2587</v>
      </c>
      <c r="B3095" s="2"/>
      <c r="C3095" s="2"/>
      <c r="D3095" s="2"/>
      <c r="E3095" s="2"/>
      <c r="F3095" s="2"/>
      <c r="G3095" s="2"/>
      <c r="H3095" s="2"/>
    </row>
    <row r="3096" spans="1:8" ht="18" customHeight="1" x14ac:dyDescent="0.15">
      <c r="A3096" s="3" t="s">
        <v>1520</v>
      </c>
      <c r="B3096" s="2"/>
      <c r="C3096" s="2"/>
      <c r="D3096" s="2"/>
      <c r="E3096" s="2"/>
      <c r="F3096" s="2"/>
      <c r="G3096" s="2"/>
      <c r="H3096" s="2"/>
    </row>
    <row r="3097" spans="1:8" ht="18" customHeight="1" x14ac:dyDescent="0.15">
      <c r="A3097" s="3" t="s">
        <v>1521</v>
      </c>
      <c r="B3097" s="2"/>
      <c r="C3097" s="2"/>
      <c r="D3097" s="2"/>
      <c r="E3097" s="2"/>
      <c r="F3097" s="2"/>
      <c r="G3097" s="2"/>
      <c r="H3097" s="2"/>
    </row>
    <row r="3098" spans="1:8" ht="18" customHeight="1" x14ac:dyDescent="0.15">
      <c r="A3098" s="230" t="s">
        <v>1418</v>
      </c>
      <c r="B3098" s="230"/>
      <c r="C3098" s="230"/>
      <c r="D3098" s="230"/>
      <c r="E3098" s="230"/>
      <c r="F3098" s="230"/>
      <c r="G3098" s="230"/>
      <c r="H3098" s="230"/>
    </row>
    <row r="3099" spans="1:8" ht="18" customHeight="1" x14ac:dyDescent="0.15">
      <c r="A3099" s="231"/>
      <c r="B3099" s="231"/>
      <c r="C3099" s="231"/>
      <c r="D3099" s="231"/>
      <c r="E3099" s="231"/>
      <c r="F3099" s="231"/>
      <c r="G3099" s="231"/>
      <c r="H3099" s="231"/>
    </row>
    <row r="3100" spans="1:8" ht="18" customHeight="1" thickBot="1" x14ac:dyDescent="0.2">
      <c r="A3100" s="58" t="s">
        <v>1419</v>
      </c>
    </row>
    <row r="3101" spans="1:8" ht="18" customHeight="1" x14ac:dyDescent="0.15">
      <c r="A3101" s="232" t="s">
        <v>1420</v>
      </c>
      <c r="B3101" s="235" t="s">
        <v>1421</v>
      </c>
      <c r="C3101" s="238" t="s">
        <v>1422</v>
      </c>
      <c r="D3101" s="241" t="s">
        <v>1423</v>
      </c>
      <c r="E3101" s="57"/>
      <c r="F3101" s="56"/>
      <c r="G3101" s="56"/>
      <c r="H3101" s="55"/>
    </row>
    <row r="3102" spans="1:8" ht="18" customHeight="1" x14ac:dyDescent="0.15">
      <c r="A3102" s="233"/>
      <c r="B3102" s="236"/>
      <c r="C3102" s="239"/>
      <c r="D3102" s="242"/>
      <c r="E3102" s="244" t="s">
        <v>1424</v>
      </c>
      <c r="F3102" s="246" t="s">
        <v>1425</v>
      </c>
      <c r="G3102" s="246" t="s">
        <v>1426</v>
      </c>
      <c r="H3102" s="248" t="s">
        <v>1427</v>
      </c>
    </row>
    <row r="3103" spans="1:8" ht="18" customHeight="1" thickBot="1" x14ac:dyDescent="0.2">
      <c r="A3103" s="234"/>
      <c r="B3103" s="237"/>
      <c r="C3103" s="240"/>
      <c r="D3103" s="243"/>
      <c r="E3103" s="245"/>
      <c r="F3103" s="247"/>
      <c r="G3103" s="247"/>
      <c r="H3103" s="249"/>
    </row>
    <row r="3104" spans="1:8" ht="15" thickTop="1" x14ac:dyDescent="0.15">
      <c r="A3104" s="54"/>
      <c r="B3104" s="53"/>
      <c r="C3104" s="52"/>
      <c r="D3104" s="51" t="s">
        <v>1428</v>
      </c>
      <c r="E3104" s="50" t="s">
        <v>1428</v>
      </c>
      <c r="F3104" s="49" t="s">
        <v>1428</v>
      </c>
      <c r="G3104" s="49" t="s">
        <v>1428</v>
      </c>
      <c r="H3104" s="48" t="s">
        <v>1428</v>
      </c>
    </row>
    <row r="3105" spans="1:8" ht="18" customHeight="1" x14ac:dyDescent="0.15">
      <c r="A3105" s="250" t="s">
        <v>1429</v>
      </c>
      <c r="B3105" s="61" t="s">
        <v>1430</v>
      </c>
      <c r="C3105" s="62">
        <v>3719</v>
      </c>
      <c r="D3105" s="63">
        <v>672700771</v>
      </c>
      <c r="E3105" s="63">
        <v>256070880</v>
      </c>
      <c r="F3105" s="64">
        <v>201587917</v>
      </c>
      <c r="G3105" s="64">
        <v>208506260</v>
      </c>
      <c r="H3105" s="65">
        <v>6535712</v>
      </c>
    </row>
    <row r="3106" spans="1:8" ht="18" customHeight="1" x14ac:dyDescent="0.15">
      <c r="A3106" s="250"/>
      <c r="B3106" s="66" t="s">
        <v>1431</v>
      </c>
      <c r="C3106" s="67">
        <v>34</v>
      </c>
      <c r="D3106" s="68">
        <v>304048</v>
      </c>
      <c r="E3106" s="68">
        <v>82549</v>
      </c>
      <c r="F3106" s="69">
        <v>192241</v>
      </c>
      <c r="G3106" s="69">
        <v>29258</v>
      </c>
      <c r="H3106" s="70">
        <v>0</v>
      </c>
    </row>
    <row r="3107" spans="1:8" ht="18" customHeight="1" x14ac:dyDescent="0.15">
      <c r="A3107" s="250"/>
      <c r="B3107" s="66" t="s">
        <v>1432</v>
      </c>
      <c r="C3107" s="67">
        <v>78</v>
      </c>
      <c r="D3107" s="68">
        <v>0</v>
      </c>
      <c r="E3107" s="68">
        <v>0</v>
      </c>
      <c r="F3107" s="69">
        <v>0</v>
      </c>
      <c r="G3107" s="69">
        <v>0</v>
      </c>
      <c r="H3107" s="70">
        <v>0</v>
      </c>
    </row>
    <row r="3108" spans="1:8" ht="18" customHeight="1" x14ac:dyDescent="0.15">
      <c r="A3108" s="250"/>
      <c r="B3108" s="71" t="s">
        <v>1433</v>
      </c>
      <c r="C3108" s="72">
        <v>1</v>
      </c>
      <c r="D3108" s="73">
        <v>165582</v>
      </c>
      <c r="E3108" s="73">
        <v>125397</v>
      </c>
      <c r="F3108" s="74">
        <v>8276</v>
      </c>
      <c r="G3108" s="74">
        <v>30242</v>
      </c>
      <c r="H3108" s="75">
        <v>1666</v>
      </c>
    </row>
    <row r="3109" spans="1:8" ht="18" customHeight="1" x14ac:dyDescent="0.15">
      <c r="A3109" s="250"/>
      <c r="B3109" s="66" t="s">
        <v>1434</v>
      </c>
      <c r="C3109" s="67">
        <v>64</v>
      </c>
      <c r="D3109" s="68">
        <v>11925262</v>
      </c>
      <c r="E3109" s="68">
        <v>3307858</v>
      </c>
      <c r="F3109" s="69">
        <v>3104562</v>
      </c>
      <c r="G3109" s="69">
        <v>5468135</v>
      </c>
      <c r="H3109" s="70">
        <v>44706</v>
      </c>
    </row>
    <row r="3110" spans="1:8" ht="13.5" x14ac:dyDescent="0.15">
      <c r="A3110" s="250"/>
      <c r="B3110" s="76" t="s">
        <v>1435</v>
      </c>
      <c r="C3110" s="67">
        <v>181</v>
      </c>
      <c r="D3110" s="68">
        <v>32581090</v>
      </c>
      <c r="E3110" s="68">
        <v>3850870</v>
      </c>
      <c r="F3110" s="69">
        <v>1822761</v>
      </c>
      <c r="G3110" s="69">
        <v>26817394</v>
      </c>
      <c r="H3110" s="70">
        <v>90063</v>
      </c>
    </row>
    <row r="3111" spans="1:8" ht="18" customHeight="1" x14ac:dyDescent="0.15">
      <c r="A3111" s="251"/>
      <c r="B3111" s="77" t="s">
        <v>1436</v>
      </c>
      <c r="C3111" s="72">
        <v>41</v>
      </c>
      <c r="D3111" s="73">
        <v>243077</v>
      </c>
      <c r="E3111" s="73">
        <v>218137</v>
      </c>
      <c r="F3111" s="74">
        <v>3544</v>
      </c>
      <c r="G3111" s="74">
        <v>20496</v>
      </c>
      <c r="H3111" s="75">
        <v>899</v>
      </c>
    </row>
    <row r="3112" spans="1:8" ht="18" customHeight="1" x14ac:dyDescent="0.15">
      <c r="A3112" s="30" t="s">
        <v>1437</v>
      </c>
      <c r="B3112" s="78" t="s">
        <v>1438</v>
      </c>
      <c r="C3112" s="79">
        <v>31</v>
      </c>
      <c r="D3112" s="80">
        <v>102623</v>
      </c>
      <c r="E3112" s="80">
        <v>98499</v>
      </c>
      <c r="F3112" s="81">
        <v>1879</v>
      </c>
      <c r="G3112" s="81">
        <v>601</v>
      </c>
      <c r="H3112" s="82">
        <v>1642</v>
      </c>
    </row>
    <row r="3113" spans="1:8" ht="18" customHeight="1" x14ac:dyDescent="0.15">
      <c r="A3113" s="252" t="s">
        <v>1439</v>
      </c>
      <c r="B3113" s="17" t="s">
        <v>1440</v>
      </c>
      <c r="C3113" s="16">
        <v>3096</v>
      </c>
      <c r="D3113" s="83">
        <v>60459896</v>
      </c>
      <c r="E3113" s="83">
        <v>9354914</v>
      </c>
      <c r="F3113" s="84">
        <v>10087772</v>
      </c>
      <c r="G3113" s="84">
        <v>33258636</v>
      </c>
      <c r="H3113" s="85">
        <v>7758572</v>
      </c>
    </row>
    <row r="3114" spans="1:8" ht="18" customHeight="1" x14ac:dyDescent="0.15">
      <c r="A3114" s="250"/>
      <c r="B3114" s="23" t="s">
        <v>1441</v>
      </c>
      <c r="C3114" s="22">
        <v>3033</v>
      </c>
      <c r="D3114" s="86">
        <v>14194201</v>
      </c>
      <c r="E3114" s="86">
        <v>631569</v>
      </c>
      <c r="F3114" s="87">
        <v>3591135</v>
      </c>
      <c r="G3114" s="87">
        <v>8123651</v>
      </c>
      <c r="H3114" s="88">
        <v>1847844</v>
      </c>
    </row>
    <row r="3115" spans="1:8" ht="18" customHeight="1" x14ac:dyDescent="0.15">
      <c r="A3115" s="250"/>
      <c r="B3115" s="24" t="s">
        <v>1442</v>
      </c>
      <c r="C3115" s="22">
        <v>622</v>
      </c>
      <c r="D3115" s="86">
        <v>32357560</v>
      </c>
      <c r="E3115" s="86">
        <v>2078818</v>
      </c>
      <c r="F3115" s="87">
        <v>7303268</v>
      </c>
      <c r="G3115" s="87">
        <v>16384786</v>
      </c>
      <c r="H3115" s="88">
        <v>6590686</v>
      </c>
    </row>
    <row r="3116" spans="1:8" ht="13.5" x14ac:dyDescent="0.15">
      <c r="A3116" s="250"/>
      <c r="B3116" s="23" t="s">
        <v>1443</v>
      </c>
      <c r="C3116" s="22">
        <v>1629</v>
      </c>
      <c r="D3116" s="86">
        <v>48360600</v>
      </c>
      <c r="E3116" s="86">
        <v>4766464</v>
      </c>
      <c r="F3116" s="87">
        <v>8551108</v>
      </c>
      <c r="G3116" s="87">
        <v>30922972</v>
      </c>
      <c r="H3116" s="88">
        <v>4120055</v>
      </c>
    </row>
    <row r="3117" spans="1:8" ht="13.5" x14ac:dyDescent="0.15">
      <c r="A3117" s="250"/>
      <c r="B3117" s="23" t="s">
        <v>1444</v>
      </c>
      <c r="C3117" s="22">
        <v>289</v>
      </c>
      <c r="D3117" s="86">
        <v>4278606</v>
      </c>
      <c r="E3117" s="86">
        <v>255611</v>
      </c>
      <c r="F3117" s="87">
        <v>108070</v>
      </c>
      <c r="G3117" s="87">
        <v>3864645</v>
      </c>
      <c r="H3117" s="88">
        <v>50278</v>
      </c>
    </row>
    <row r="3118" spans="1:8" ht="18" customHeight="1" x14ac:dyDescent="0.15">
      <c r="A3118" s="250"/>
      <c r="B3118" s="23" t="s">
        <v>1445</v>
      </c>
      <c r="C3118" s="22">
        <v>119</v>
      </c>
      <c r="D3118" s="86">
        <v>1119600</v>
      </c>
      <c r="E3118" s="86">
        <v>272200</v>
      </c>
      <c r="F3118" s="87">
        <v>73600</v>
      </c>
      <c r="G3118" s="87">
        <v>501880</v>
      </c>
      <c r="H3118" s="88">
        <v>271920</v>
      </c>
    </row>
    <row r="3119" spans="1:8" ht="13.5" x14ac:dyDescent="0.15">
      <c r="A3119" s="250"/>
      <c r="B3119" s="23" t="s">
        <v>1446</v>
      </c>
      <c r="C3119" s="22">
        <v>28</v>
      </c>
      <c r="D3119" s="86">
        <v>227421</v>
      </c>
      <c r="E3119" s="86">
        <v>122487</v>
      </c>
      <c r="F3119" s="87">
        <v>14710</v>
      </c>
      <c r="G3119" s="87">
        <v>49105</v>
      </c>
      <c r="H3119" s="88">
        <v>41119</v>
      </c>
    </row>
    <row r="3120" spans="1:8" ht="24" customHeight="1" x14ac:dyDescent="0.15">
      <c r="A3120" s="250"/>
      <c r="B3120" s="23" t="s">
        <v>1447</v>
      </c>
      <c r="C3120" s="22">
        <v>0</v>
      </c>
      <c r="D3120" s="86">
        <v>0</v>
      </c>
      <c r="E3120" s="86">
        <v>0</v>
      </c>
      <c r="F3120" s="87">
        <v>0</v>
      </c>
      <c r="G3120" s="87">
        <v>0</v>
      </c>
      <c r="H3120" s="88">
        <v>0</v>
      </c>
    </row>
    <row r="3121" spans="1:8" ht="18" customHeight="1" x14ac:dyDescent="0.15">
      <c r="A3121" s="250"/>
      <c r="B3121" s="23" t="s">
        <v>1448</v>
      </c>
      <c r="C3121" s="22">
        <v>244</v>
      </c>
      <c r="D3121" s="86">
        <v>8973140</v>
      </c>
      <c r="E3121" s="86">
        <v>830940</v>
      </c>
      <c r="F3121" s="87">
        <v>2792060</v>
      </c>
      <c r="G3121" s="87">
        <v>3378410</v>
      </c>
      <c r="H3121" s="88">
        <v>1971730</v>
      </c>
    </row>
    <row r="3122" spans="1:8" ht="13.5" x14ac:dyDescent="0.15">
      <c r="A3122" s="250"/>
      <c r="B3122" s="23" t="s">
        <v>1449</v>
      </c>
      <c r="C3122" s="22">
        <v>3103</v>
      </c>
      <c r="D3122" s="86">
        <v>61461805</v>
      </c>
      <c r="E3122" s="86">
        <v>13587273</v>
      </c>
      <c r="F3122" s="87">
        <v>9804359</v>
      </c>
      <c r="G3122" s="87">
        <v>31294060</v>
      </c>
      <c r="H3122" s="88">
        <v>6776110</v>
      </c>
    </row>
    <row r="3123" spans="1:8" ht="18" customHeight="1" x14ac:dyDescent="0.15">
      <c r="A3123" s="250"/>
      <c r="B3123" s="23" t="s">
        <v>1450</v>
      </c>
      <c r="C3123" s="22">
        <v>599</v>
      </c>
      <c r="D3123" s="86">
        <v>14881710</v>
      </c>
      <c r="E3123" s="86">
        <v>2295515</v>
      </c>
      <c r="F3123" s="87">
        <v>2911849</v>
      </c>
      <c r="G3123" s="87">
        <v>8331708</v>
      </c>
      <c r="H3123" s="88">
        <v>1342636</v>
      </c>
    </row>
    <row r="3124" spans="1:8" ht="18" customHeight="1" x14ac:dyDescent="0.15">
      <c r="A3124" s="250"/>
      <c r="B3124" s="23" t="s">
        <v>1451</v>
      </c>
      <c r="C3124" s="22">
        <v>50054</v>
      </c>
      <c r="D3124" s="86">
        <v>13118646</v>
      </c>
      <c r="E3124" s="86">
        <v>923163</v>
      </c>
      <c r="F3124" s="87">
        <v>5583237</v>
      </c>
      <c r="G3124" s="87">
        <v>6257594</v>
      </c>
      <c r="H3124" s="88">
        <v>354650</v>
      </c>
    </row>
    <row r="3125" spans="1:8" ht="13.5" x14ac:dyDescent="0.15">
      <c r="A3125" s="250"/>
      <c r="B3125" s="23" t="s">
        <v>1452</v>
      </c>
      <c r="C3125" s="22">
        <v>646</v>
      </c>
      <c r="D3125" s="86">
        <v>1666900</v>
      </c>
      <c r="E3125" s="86">
        <v>31921</v>
      </c>
      <c r="F3125" s="87">
        <v>1118728</v>
      </c>
      <c r="G3125" s="87">
        <v>516251</v>
      </c>
      <c r="H3125" s="88">
        <v>0</v>
      </c>
    </row>
    <row r="3126" spans="1:8" ht="18" customHeight="1" x14ac:dyDescent="0.15">
      <c r="A3126" s="250"/>
      <c r="B3126" s="23" t="s">
        <v>1453</v>
      </c>
      <c r="C3126" s="22">
        <v>47</v>
      </c>
      <c r="D3126" s="86">
        <v>393300</v>
      </c>
      <c r="E3126" s="86">
        <v>121753</v>
      </c>
      <c r="F3126" s="87">
        <v>52700</v>
      </c>
      <c r="G3126" s="87">
        <v>178326</v>
      </c>
      <c r="H3126" s="88">
        <v>40521</v>
      </c>
    </row>
    <row r="3127" spans="1:8" ht="18" customHeight="1" x14ac:dyDescent="0.15">
      <c r="A3127" s="250"/>
      <c r="B3127" s="23" t="s">
        <v>1454</v>
      </c>
      <c r="C3127" s="22">
        <v>446</v>
      </c>
      <c r="D3127" s="86">
        <v>2383276</v>
      </c>
      <c r="E3127" s="86">
        <v>198190</v>
      </c>
      <c r="F3127" s="87">
        <v>1192769</v>
      </c>
      <c r="G3127" s="87">
        <v>936817</v>
      </c>
      <c r="H3127" s="88">
        <v>55500</v>
      </c>
    </row>
    <row r="3128" spans="1:8" ht="18" customHeight="1" x14ac:dyDescent="0.15">
      <c r="A3128" s="250"/>
      <c r="B3128" s="23" t="s">
        <v>1455</v>
      </c>
      <c r="C3128" s="22">
        <v>290</v>
      </c>
      <c r="D3128" s="86">
        <v>7709500</v>
      </c>
      <c r="E3128" s="86">
        <v>688270</v>
      </c>
      <c r="F3128" s="87">
        <v>1361500</v>
      </c>
      <c r="G3128" s="87">
        <v>5139400</v>
      </c>
      <c r="H3128" s="88">
        <v>520330</v>
      </c>
    </row>
    <row r="3129" spans="1:8" ht="18" customHeight="1" x14ac:dyDescent="0.15">
      <c r="A3129" s="250"/>
      <c r="B3129" s="23" t="s">
        <v>1456</v>
      </c>
      <c r="C3129" s="22">
        <v>49</v>
      </c>
      <c r="D3129" s="86">
        <v>1883600</v>
      </c>
      <c r="E3129" s="86">
        <v>208600</v>
      </c>
      <c r="F3129" s="87">
        <v>625700</v>
      </c>
      <c r="G3129" s="87">
        <v>897000</v>
      </c>
      <c r="H3129" s="88">
        <v>152300</v>
      </c>
    </row>
    <row r="3130" spans="1:8" ht="18" customHeight="1" x14ac:dyDescent="0.15">
      <c r="A3130" s="250"/>
      <c r="B3130" s="23" t="s">
        <v>1457</v>
      </c>
      <c r="C3130" s="22">
        <v>0</v>
      </c>
      <c r="D3130" s="86">
        <v>0</v>
      </c>
      <c r="E3130" s="86">
        <v>0</v>
      </c>
      <c r="F3130" s="87">
        <v>0</v>
      </c>
      <c r="G3130" s="87">
        <v>0</v>
      </c>
      <c r="H3130" s="88">
        <v>0</v>
      </c>
    </row>
    <row r="3131" spans="1:8" ht="13.5" x14ac:dyDescent="0.15">
      <c r="A3131" s="250"/>
      <c r="B3131" s="23" t="s">
        <v>1458</v>
      </c>
      <c r="C3131" s="22">
        <v>3</v>
      </c>
      <c r="D3131" s="86">
        <v>10800</v>
      </c>
      <c r="E3131" s="86">
        <v>0</v>
      </c>
      <c r="F3131" s="87">
        <v>0</v>
      </c>
      <c r="G3131" s="87">
        <v>10800</v>
      </c>
      <c r="H3131" s="88">
        <v>0</v>
      </c>
    </row>
    <row r="3132" spans="1:8" ht="18" customHeight="1" x14ac:dyDescent="0.15">
      <c r="A3132" s="250"/>
      <c r="B3132" s="23" t="s">
        <v>1459</v>
      </c>
      <c r="C3132" s="22">
        <v>1</v>
      </c>
      <c r="D3132" s="86">
        <v>3000</v>
      </c>
      <c r="E3132" s="86">
        <v>100</v>
      </c>
      <c r="F3132" s="87">
        <v>500</v>
      </c>
      <c r="G3132" s="87">
        <v>1600</v>
      </c>
      <c r="H3132" s="88">
        <v>800</v>
      </c>
    </row>
    <row r="3133" spans="1:8" ht="18" customHeight="1" x14ac:dyDescent="0.15">
      <c r="A3133" s="251"/>
      <c r="B3133" s="23" t="s">
        <v>1460</v>
      </c>
      <c r="C3133" s="22">
        <v>14</v>
      </c>
      <c r="D3133" s="86">
        <v>9701</v>
      </c>
      <c r="E3133" s="86">
        <v>466</v>
      </c>
      <c r="F3133" s="87">
        <v>8000</v>
      </c>
      <c r="G3133" s="87">
        <v>1235</v>
      </c>
      <c r="H3133" s="88">
        <v>0</v>
      </c>
    </row>
    <row r="3134" spans="1:8" ht="13.5" x14ac:dyDescent="0.15">
      <c r="A3134" s="18" t="s">
        <v>1461</v>
      </c>
      <c r="B3134" s="17" t="s">
        <v>1462</v>
      </c>
      <c r="C3134" s="16">
        <v>3415</v>
      </c>
      <c r="D3134" s="80">
        <v>13600920</v>
      </c>
      <c r="E3134" s="80">
        <v>932000</v>
      </c>
      <c r="F3134" s="81">
        <v>5361168</v>
      </c>
      <c r="G3134" s="81">
        <v>5346267</v>
      </c>
      <c r="H3134" s="82">
        <v>1961485</v>
      </c>
    </row>
    <row r="3135" spans="1:8" ht="18" customHeight="1" x14ac:dyDescent="0.15">
      <c r="A3135" s="252" t="s">
        <v>1463</v>
      </c>
      <c r="B3135" s="12" t="s">
        <v>1464</v>
      </c>
      <c r="C3135" s="11">
        <v>5965</v>
      </c>
      <c r="D3135" s="89">
        <v>76811834</v>
      </c>
      <c r="E3135" s="89">
        <v>47159704</v>
      </c>
      <c r="F3135" s="90">
        <v>12415748</v>
      </c>
      <c r="G3135" s="90">
        <v>10786698</v>
      </c>
      <c r="H3135" s="91">
        <v>6449684</v>
      </c>
    </row>
    <row r="3136" spans="1:8" ht="18" customHeight="1" thickBot="1" x14ac:dyDescent="0.2">
      <c r="A3136" s="253"/>
      <c r="B3136" s="7" t="s">
        <v>1465</v>
      </c>
      <c r="C3136" s="6">
        <v>5646</v>
      </c>
      <c r="D3136" s="92" t="s">
        <v>1466</v>
      </c>
      <c r="E3136" s="92" t="s">
        <v>1466</v>
      </c>
      <c r="F3136" s="92" t="s">
        <v>1466</v>
      </c>
      <c r="G3136" s="92" t="s">
        <v>1466</v>
      </c>
      <c r="H3136" s="93" t="s">
        <v>1466</v>
      </c>
    </row>
    <row r="3137" spans="1:8" ht="18" customHeight="1" x14ac:dyDescent="0.15">
      <c r="A3137" s="3" t="s">
        <v>1467</v>
      </c>
      <c r="B3137" s="2"/>
      <c r="C3137" s="2"/>
      <c r="D3137" s="2"/>
      <c r="E3137" s="2"/>
      <c r="F3137" s="2"/>
      <c r="G3137" s="2"/>
      <c r="H3137" s="2"/>
    </row>
    <row r="3138" spans="1:8" ht="18" customHeight="1" x14ac:dyDescent="0.15">
      <c r="A3138" s="3" t="s">
        <v>2587</v>
      </c>
      <c r="B3138" s="2"/>
      <c r="C3138" s="2"/>
      <c r="D3138" s="2"/>
      <c r="E3138" s="2"/>
      <c r="F3138" s="2"/>
      <c r="G3138" s="2"/>
      <c r="H3138" s="2"/>
    </row>
    <row r="3139" spans="1:8" ht="18" customHeight="1" x14ac:dyDescent="0.15">
      <c r="A3139" s="3" t="s">
        <v>1468</v>
      </c>
      <c r="B3139" s="2"/>
      <c r="C3139" s="2"/>
      <c r="D3139" s="2"/>
      <c r="E3139" s="2"/>
      <c r="F3139" s="2"/>
      <c r="G3139" s="2"/>
      <c r="H3139" s="2"/>
    </row>
    <row r="3140" spans="1:8" ht="18" customHeight="1" x14ac:dyDescent="0.15">
      <c r="A3140" s="3" t="s">
        <v>1469</v>
      </c>
      <c r="B3140" s="2"/>
      <c r="C3140" s="2"/>
      <c r="D3140" s="2"/>
      <c r="E3140" s="2"/>
      <c r="F3140" s="2"/>
      <c r="G3140" s="2"/>
      <c r="H3140" s="2"/>
    </row>
    <row r="3141" spans="1:8" ht="18" customHeight="1" x14ac:dyDescent="0.15">
      <c r="A3141" s="230" t="s">
        <v>1366</v>
      </c>
      <c r="B3141" s="230"/>
      <c r="C3141" s="230"/>
      <c r="D3141" s="230"/>
      <c r="E3141" s="230"/>
      <c r="F3141" s="230"/>
      <c r="G3141" s="230"/>
      <c r="H3141" s="230"/>
    </row>
    <row r="3142" spans="1:8" ht="18" customHeight="1" x14ac:dyDescent="0.15">
      <c r="A3142" s="231"/>
      <c r="B3142" s="231"/>
      <c r="C3142" s="231"/>
      <c r="D3142" s="231"/>
      <c r="E3142" s="231"/>
      <c r="F3142" s="231"/>
      <c r="G3142" s="231"/>
      <c r="H3142" s="231"/>
    </row>
    <row r="3143" spans="1:8" ht="18" customHeight="1" thickBot="1" x14ac:dyDescent="0.2">
      <c r="A3143" s="58" t="s">
        <v>1367</v>
      </c>
    </row>
    <row r="3144" spans="1:8" ht="18" customHeight="1" x14ac:dyDescent="0.15">
      <c r="A3144" s="232" t="s">
        <v>1368</v>
      </c>
      <c r="B3144" s="235" t="s">
        <v>1369</v>
      </c>
      <c r="C3144" s="238" t="s">
        <v>1370</v>
      </c>
      <c r="D3144" s="241" t="s">
        <v>1371</v>
      </c>
      <c r="E3144" s="57"/>
      <c r="F3144" s="56"/>
      <c r="G3144" s="56"/>
      <c r="H3144" s="55"/>
    </row>
    <row r="3145" spans="1:8" ht="18" customHeight="1" x14ac:dyDescent="0.15">
      <c r="A3145" s="233"/>
      <c r="B3145" s="236"/>
      <c r="C3145" s="239"/>
      <c r="D3145" s="242"/>
      <c r="E3145" s="244" t="s">
        <v>1372</v>
      </c>
      <c r="F3145" s="246" t="s">
        <v>1373</v>
      </c>
      <c r="G3145" s="246" t="s">
        <v>1374</v>
      </c>
      <c r="H3145" s="248" t="s">
        <v>1375</v>
      </c>
    </row>
    <row r="3146" spans="1:8" ht="18" customHeight="1" thickBot="1" x14ac:dyDescent="0.2">
      <c r="A3146" s="234"/>
      <c r="B3146" s="237"/>
      <c r="C3146" s="240"/>
      <c r="D3146" s="243"/>
      <c r="E3146" s="245"/>
      <c r="F3146" s="247"/>
      <c r="G3146" s="247"/>
      <c r="H3146" s="249"/>
    </row>
    <row r="3147" spans="1:8" ht="18" customHeight="1" thickTop="1" x14ac:dyDescent="0.15">
      <c r="A3147" s="54"/>
      <c r="B3147" s="53"/>
      <c r="C3147" s="52"/>
      <c r="D3147" s="51" t="s">
        <v>1376</v>
      </c>
      <c r="E3147" s="50" t="s">
        <v>1376</v>
      </c>
      <c r="F3147" s="49" t="s">
        <v>1376</v>
      </c>
      <c r="G3147" s="49" t="s">
        <v>1376</v>
      </c>
      <c r="H3147" s="48" t="s">
        <v>1376</v>
      </c>
    </row>
    <row r="3148" spans="1:8" ht="18" customHeight="1" x14ac:dyDescent="0.15">
      <c r="A3148" s="250" t="s">
        <v>1377</v>
      </c>
      <c r="B3148" s="61" t="s">
        <v>1378</v>
      </c>
      <c r="C3148" s="62">
        <v>3713</v>
      </c>
      <c r="D3148" s="63">
        <v>694833197</v>
      </c>
      <c r="E3148" s="63">
        <v>258567600</v>
      </c>
      <c r="F3148" s="64">
        <v>216948286</v>
      </c>
      <c r="G3148" s="64">
        <v>213622029</v>
      </c>
      <c r="H3148" s="65">
        <v>5695281</v>
      </c>
    </row>
    <row r="3149" spans="1:8" ht="18" customHeight="1" x14ac:dyDescent="0.15">
      <c r="A3149" s="250"/>
      <c r="B3149" s="66" t="s">
        <v>1379</v>
      </c>
      <c r="C3149" s="67">
        <v>34</v>
      </c>
      <c r="D3149" s="68">
        <v>316342</v>
      </c>
      <c r="E3149" s="68">
        <v>87306</v>
      </c>
      <c r="F3149" s="69">
        <v>196745</v>
      </c>
      <c r="G3149" s="69">
        <v>32290</v>
      </c>
      <c r="H3149" s="70">
        <v>0</v>
      </c>
    </row>
    <row r="3150" spans="1:8" ht="13.5" x14ac:dyDescent="0.15">
      <c r="A3150" s="250"/>
      <c r="B3150" s="66" t="s">
        <v>1380</v>
      </c>
      <c r="C3150" s="67">
        <v>63</v>
      </c>
      <c r="D3150" s="68">
        <v>5750</v>
      </c>
      <c r="E3150" s="68">
        <v>3724</v>
      </c>
      <c r="F3150" s="69">
        <v>1095</v>
      </c>
      <c r="G3150" s="69">
        <v>930</v>
      </c>
      <c r="H3150" s="70">
        <v>0</v>
      </c>
    </row>
    <row r="3151" spans="1:8" ht="18" customHeight="1" x14ac:dyDescent="0.15">
      <c r="A3151" s="250"/>
      <c r="B3151" s="71" t="s">
        <v>1381</v>
      </c>
      <c r="C3151" s="72">
        <v>1</v>
      </c>
      <c r="D3151" s="73">
        <v>170681</v>
      </c>
      <c r="E3151" s="73">
        <v>129095</v>
      </c>
      <c r="F3151" s="74">
        <v>8685</v>
      </c>
      <c r="G3151" s="74">
        <v>31173</v>
      </c>
      <c r="H3151" s="75">
        <v>1727</v>
      </c>
    </row>
    <row r="3152" spans="1:8" ht="18" customHeight="1" x14ac:dyDescent="0.15">
      <c r="A3152" s="250"/>
      <c r="B3152" s="66" t="s">
        <v>1382</v>
      </c>
      <c r="C3152" s="67">
        <v>65</v>
      </c>
      <c r="D3152" s="68">
        <v>11732606</v>
      </c>
      <c r="E3152" s="68">
        <v>3303228</v>
      </c>
      <c r="F3152" s="69">
        <v>2961851</v>
      </c>
      <c r="G3152" s="69">
        <v>5420803</v>
      </c>
      <c r="H3152" s="70">
        <v>46722</v>
      </c>
    </row>
    <row r="3153" spans="1:8" ht="18" customHeight="1" x14ac:dyDescent="0.15">
      <c r="A3153" s="250"/>
      <c r="B3153" s="76" t="s">
        <v>1383</v>
      </c>
      <c r="C3153" s="67">
        <v>181</v>
      </c>
      <c r="D3153" s="68">
        <v>31494162</v>
      </c>
      <c r="E3153" s="68">
        <v>3537940</v>
      </c>
      <c r="F3153" s="69">
        <v>1489279</v>
      </c>
      <c r="G3153" s="69">
        <v>26382706</v>
      </c>
      <c r="H3153" s="70">
        <v>84235</v>
      </c>
    </row>
    <row r="3154" spans="1:8" ht="18" customHeight="1" x14ac:dyDescent="0.15">
      <c r="A3154" s="251"/>
      <c r="B3154" s="77" t="s">
        <v>1384</v>
      </c>
      <c r="C3154" s="72">
        <v>51</v>
      </c>
      <c r="D3154" s="73">
        <v>270313</v>
      </c>
      <c r="E3154" s="73">
        <v>245271</v>
      </c>
      <c r="F3154" s="74">
        <v>3562</v>
      </c>
      <c r="G3154" s="74">
        <v>20085</v>
      </c>
      <c r="H3154" s="75">
        <v>1393</v>
      </c>
    </row>
    <row r="3155" spans="1:8" ht="18" customHeight="1" x14ac:dyDescent="0.15">
      <c r="A3155" s="30" t="s">
        <v>1385</v>
      </c>
      <c r="B3155" s="78" t="s">
        <v>1386</v>
      </c>
      <c r="C3155" s="79">
        <v>31</v>
      </c>
      <c r="D3155" s="80">
        <v>163236</v>
      </c>
      <c r="E3155" s="80">
        <v>159950</v>
      </c>
      <c r="F3155" s="81">
        <v>1920</v>
      </c>
      <c r="G3155" s="81">
        <v>552</v>
      </c>
      <c r="H3155" s="82">
        <v>812</v>
      </c>
    </row>
    <row r="3156" spans="1:8" ht="13.5" x14ac:dyDescent="0.15">
      <c r="A3156" s="252" t="s">
        <v>1387</v>
      </c>
      <c r="B3156" s="17" t="s">
        <v>1388</v>
      </c>
      <c r="C3156" s="16">
        <v>3116</v>
      </c>
      <c r="D3156" s="83">
        <v>60728696</v>
      </c>
      <c r="E3156" s="83">
        <v>9361358</v>
      </c>
      <c r="F3156" s="84">
        <v>9968439</v>
      </c>
      <c r="G3156" s="84">
        <v>33553579</v>
      </c>
      <c r="H3156" s="85">
        <v>7845319</v>
      </c>
    </row>
    <row r="3157" spans="1:8" ht="13.5" x14ac:dyDescent="0.15">
      <c r="A3157" s="250"/>
      <c r="B3157" s="23" t="s">
        <v>1389</v>
      </c>
      <c r="C3157" s="22">
        <v>3070</v>
      </c>
      <c r="D3157" s="86">
        <v>14474479</v>
      </c>
      <c r="E3157" s="86">
        <v>628741</v>
      </c>
      <c r="F3157" s="87">
        <v>3610525</v>
      </c>
      <c r="G3157" s="87">
        <v>8313349</v>
      </c>
      <c r="H3157" s="88">
        <v>1921862</v>
      </c>
    </row>
    <row r="3158" spans="1:8" ht="18" customHeight="1" x14ac:dyDescent="0.15">
      <c r="A3158" s="250"/>
      <c r="B3158" s="24" t="s">
        <v>1390</v>
      </c>
      <c r="C3158" s="22">
        <v>623</v>
      </c>
      <c r="D3158" s="86">
        <v>32411710</v>
      </c>
      <c r="E3158" s="86">
        <v>2081375</v>
      </c>
      <c r="F3158" s="87">
        <v>7134314</v>
      </c>
      <c r="G3158" s="87">
        <v>16535274</v>
      </c>
      <c r="H3158" s="88">
        <v>6660745</v>
      </c>
    </row>
    <row r="3159" spans="1:8" ht="13.5" x14ac:dyDescent="0.15">
      <c r="A3159" s="250"/>
      <c r="B3159" s="23" t="s">
        <v>1391</v>
      </c>
      <c r="C3159" s="22">
        <v>1636</v>
      </c>
      <c r="D3159" s="86">
        <v>48542000</v>
      </c>
      <c r="E3159" s="86">
        <v>4488056</v>
      </c>
      <c r="F3159" s="87">
        <v>8742881</v>
      </c>
      <c r="G3159" s="87">
        <v>31140587</v>
      </c>
      <c r="H3159" s="88">
        <v>4170475</v>
      </c>
    </row>
    <row r="3160" spans="1:8" ht="24" customHeight="1" x14ac:dyDescent="0.15">
      <c r="A3160" s="250"/>
      <c r="B3160" s="23" t="s">
        <v>1392</v>
      </c>
      <c r="C3160" s="22">
        <v>286</v>
      </c>
      <c r="D3160" s="86">
        <v>4342855</v>
      </c>
      <c r="E3160" s="86">
        <v>254984</v>
      </c>
      <c r="F3160" s="87">
        <v>109889</v>
      </c>
      <c r="G3160" s="87">
        <v>3926444</v>
      </c>
      <c r="H3160" s="88">
        <v>51535</v>
      </c>
    </row>
    <row r="3161" spans="1:8" ht="18" customHeight="1" x14ac:dyDescent="0.15">
      <c r="A3161" s="250"/>
      <c r="B3161" s="23" t="s">
        <v>1393</v>
      </c>
      <c r="C3161" s="22">
        <v>115</v>
      </c>
      <c r="D3161" s="86">
        <v>1082600</v>
      </c>
      <c r="E3161" s="86">
        <v>256300</v>
      </c>
      <c r="F3161" s="87">
        <v>70400</v>
      </c>
      <c r="G3161" s="87">
        <v>486380</v>
      </c>
      <c r="H3161" s="88">
        <v>269520</v>
      </c>
    </row>
    <row r="3162" spans="1:8" ht="13.5" x14ac:dyDescent="0.15">
      <c r="A3162" s="250"/>
      <c r="B3162" s="23" t="s">
        <v>1394</v>
      </c>
      <c r="C3162" s="22">
        <v>30</v>
      </c>
      <c r="D3162" s="86">
        <v>253821</v>
      </c>
      <c r="E3162" s="86">
        <v>120465</v>
      </c>
      <c r="F3162" s="87">
        <v>16740</v>
      </c>
      <c r="G3162" s="87">
        <v>68368</v>
      </c>
      <c r="H3162" s="88">
        <v>48248</v>
      </c>
    </row>
    <row r="3163" spans="1:8" ht="18" customHeight="1" x14ac:dyDescent="0.15">
      <c r="A3163" s="250"/>
      <c r="B3163" s="23" t="s">
        <v>1395</v>
      </c>
      <c r="C3163" s="22">
        <v>0</v>
      </c>
      <c r="D3163" s="86">
        <v>0</v>
      </c>
      <c r="E3163" s="86">
        <v>0</v>
      </c>
      <c r="F3163" s="87">
        <v>0</v>
      </c>
      <c r="G3163" s="87">
        <v>0</v>
      </c>
      <c r="H3163" s="88">
        <v>0</v>
      </c>
    </row>
    <row r="3164" spans="1:8" ht="18" customHeight="1" x14ac:dyDescent="0.15">
      <c r="A3164" s="250"/>
      <c r="B3164" s="23" t="s">
        <v>1396</v>
      </c>
      <c r="C3164" s="22">
        <v>244</v>
      </c>
      <c r="D3164" s="86">
        <v>9063920</v>
      </c>
      <c r="E3164" s="86">
        <v>839160</v>
      </c>
      <c r="F3164" s="87">
        <v>2808970</v>
      </c>
      <c r="G3164" s="87">
        <v>3353780</v>
      </c>
      <c r="H3164" s="88">
        <v>2062010</v>
      </c>
    </row>
    <row r="3165" spans="1:8" ht="13.5" x14ac:dyDescent="0.15">
      <c r="A3165" s="250"/>
      <c r="B3165" s="23" t="s">
        <v>1397</v>
      </c>
      <c r="C3165" s="22">
        <v>3092</v>
      </c>
      <c r="D3165" s="86">
        <v>62168674</v>
      </c>
      <c r="E3165" s="86">
        <v>13447272</v>
      </c>
      <c r="F3165" s="87">
        <v>9962970</v>
      </c>
      <c r="G3165" s="87">
        <v>31987602</v>
      </c>
      <c r="H3165" s="88">
        <v>6770828</v>
      </c>
    </row>
    <row r="3166" spans="1:8" ht="18" customHeight="1" x14ac:dyDescent="0.15">
      <c r="A3166" s="250"/>
      <c r="B3166" s="23" t="s">
        <v>1398</v>
      </c>
      <c r="C3166" s="22">
        <v>606</v>
      </c>
      <c r="D3166" s="86">
        <v>15368910</v>
      </c>
      <c r="E3166" s="86">
        <v>2259364</v>
      </c>
      <c r="F3166" s="87">
        <v>2999260</v>
      </c>
      <c r="G3166" s="87">
        <v>8743774</v>
      </c>
      <c r="H3166" s="88">
        <v>1366511</v>
      </c>
    </row>
    <row r="3167" spans="1:8" ht="18" customHeight="1" x14ac:dyDescent="0.15">
      <c r="A3167" s="250"/>
      <c r="B3167" s="23" t="s">
        <v>1399</v>
      </c>
      <c r="C3167" s="22">
        <v>48873</v>
      </c>
      <c r="D3167" s="86">
        <v>12970459</v>
      </c>
      <c r="E3167" s="86">
        <v>911336</v>
      </c>
      <c r="F3167" s="87">
        <v>5596870</v>
      </c>
      <c r="G3167" s="87">
        <v>6117482</v>
      </c>
      <c r="H3167" s="88">
        <v>344770</v>
      </c>
    </row>
    <row r="3168" spans="1:8" ht="13.5" x14ac:dyDescent="0.15">
      <c r="A3168" s="250"/>
      <c r="B3168" s="23" t="s">
        <v>1400</v>
      </c>
      <c r="C3168" s="22">
        <v>644</v>
      </c>
      <c r="D3168" s="86">
        <v>1637995</v>
      </c>
      <c r="E3168" s="86">
        <v>32761</v>
      </c>
      <c r="F3168" s="87">
        <v>1118547</v>
      </c>
      <c r="G3168" s="87">
        <v>486687</v>
      </c>
      <c r="H3168" s="88">
        <v>0</v>
      </c>
    </row>
    <row r="3169" spans="1:8" ht="18" customHeight="1" x14ac:dyDescent="0.15">
      <c r="A3169" s="250"/>
      <c r="B3169" s="23" t="s">
        <v>1401</v>
      </c>
      <c r="C3169" s="22">
        <v>47</v>
      </c>
      <c r="D3169" s="86">
        <v>393300</v>
      </c>
      <c r="E3169" s="86">
        <v>121664</v>
      </c>
      <c r="F3169" s="87">
        <v>52700</v>
      </c>
      <c r="G3169" s="87">
        <v>178415</v>
      </c>
      <c r="H3169" s="88">
        <v>40521</v>
      </c>
    </row>
    <row r="3170" spans="1:8" ht="18" customHeight="1" x14ac:dyDescent="0.15">
      <c r="A3170" s="250"/>
      <c r="B3170" s="23" t="s">
        <v>1402</v>
      </c>
      <c r="C3170" s="22">
        <v>450</v>
      </c>
      <c r="D3170" s="86">
        <v>2414423</v>
      </c>
      <c r="E3170" s="86">
        <v>216901</v>
      </c>
      <c r="F3170" s="87">
        <v>1219855</v>
      </c>
      <c r="G3170" s="87">
        <v>922067</v>
      </c>
      <c r="H3170" s="88">
        <v>55600</v>
      </c>
    </row>
    <row r="3171" spans="1:8" ht="13.5" x14ac:dyDescent="0.15">
      <c r="A3171" s="250"/>
      <c r="B3171" s="23" t="s">
        <v>1403</v>
      </c>
      <c r="C3171" s="22">
        <v>289</v>
      </c>
      <c r="D3171" s="86">
        <v>7679500</v>
      </c>
      <c r="E3171" s="86">
        <v>684870</v>
      </c>
      <c r="F3171" s="87">
        <v>1353000</v>
      </c>
      <c r="G3171" s="87">
        <v>5121100</v>
      </c>
      <c r="H3171" s="88">
        <v>520530</v>
      </c>
    </row>
    <row r="3172" spans="1:8" ht="18" customHeight="1" x14ac:dyDescent="0.15">
      <c r="A3172" s="250"/>
      <c r="B3172" s="23" t="s">
        <v>1404</v>
      </c>
      <c r="C3172" s="22">
        <v>49</v>
      </c>
      <c r="D3172" s="86">
        <v>1883600</v>
      </c>
      <c r="E3172" s="86">
        <v>179300</v>
      </c>
      <c r="F3172" s="87">
        <v>628600</v>
      </c>
      <c r="G3172" s="87">
        <v>923400</v>
      </c>
      <c r="H3172" s="88">
        <v>152300</v>
      </c>
    </row>
    <row r="3173" spans="1:8" ht="18" customHeight="1" x14ac:dyDescent="0.15">
      <c r="A3173" s="250"/>
      <c r="B3173" s="23" t="s">
        <v>1405</v>
      </c>
      <c r="C3173" s="22">
        <v>0</v>
      </c>
      <c r="D3173" s="86">
        <v>0</v>
      </c>
      <c r="E3173" s="86">
        <v>0</v>
      </c>
      <c r="F3173" s="87">
        <v>0</v>
      </c>
      <c r="G3173" s="87">
        <v>0</v>
      </c>
      <c r="H3173" s="88">
        <v>0</v>
      </c>
    </row>
    <row r="3174" spans="1:8" ht="13.5" x14ac:dyDescent="0.15">
      <c r="A3174" s="250"/>
      <c r="B3174" s="23" t="s">
        <v>1406</v>
      </c>
      <c r="C3174" s="22">
        <v>3</v>
      </c>
      <c r="D3174" s="86">
        <v>10800</v>
      </c>
      <c r="E3174" s="86">
        <v>0</v>
      </c>
      <c r="F3174" s="87">
        <v>0</v>
      </c>
      <c r="G3174" s="87">
        <v>10800</v>
      </c>
      <c r="H3174" s="88">
        <v>0</v>
      </c>
    </row>
    <row r="3175" spans="1:8" ht="18" customHeight="1" x14ac:dyDescent="0.15">
      <c r="A3175" s="250"/>
      <c r="B3175" s="23" t="s">
        <v>1407</v>
      </c>
      <c r="C3175" s="22">
        <v>1</v>
      </c>
      <c r="D3175" s="86">
        <v>3000</v>
      </c>
      <c r="E3175" s="86">
        <v>100</v>
      </c>
      <c r="F3175" s="87">
        <v>500</v>
      </c>
      <c r="G3175" s="87">
        <v>1600</v>
      </c>
      <c r="H3175" s="88">
        <v>800</v>
      </c>
    </row>
    <row r="3176" spans="1:8" ht="18" customHeight="1" x14ac:dyDescent="0.15">
      <c r="A3176" s="251"/>
      <c r="B3176" s="23" t="s">
        <v>1408</v>
      </c>
      <c r="C3176" s="22">
        <v>14</v>
      </c>
      <c r="D3176" s="86">
        <v>9701</v>
      </c>
      <c r="E3176" s="86">
        <v>466</v>
      </c>
      <c r="F3176" s="87">
        <v>8000</v>
      </c>
      <c r="G3176" s="87">
        <v>1235</v>
      </c>
      <c r="H3176" s="88">
        <v>0</v>
      </c>
    </row>
    <row r="3177" spans="1:8" ht="18" customHeight="1" x14ac:dyDescent="0.15">
      <c r="A3177" s="18" t="s">
        <v>1409</v>
      </c>
      <c r="B3177" s="17" t="s">
        <v>1410</v>
      </c>
      <c r="C3177" s="16">
        <v>3341</v>
      </c>
      <c r="D3177" s="80">
        <v>17134488</v>
      </c>
      <c r="E3177" s="80">
        <v>806500</v>
      </c>
      <c r="F3177" s="81">
        <v>7430091</v>
      </c>
      <c r="G3177" s="81">
        <v>6130697</v>
      </c>
      <c r="H3177" s="82">
        <v>2767200</v>
      </c>
    </row>
    <row r="3178" spans="1:8" ht="18" customHeight="1" x14ac:dyDescent="0.15">
      <c r="A3178" s="252" t="s">
        <v>1411</v>
      </c>
      <c r="B3178" s="12" t="s">
        <v>1412</v>
      </c>
      <c r="C3178" s="11">
        <v>5972</v>
      </c>
      <c r="D3178" s="89">
        <v>78311492</v>
      </c>
      <c r="E3178" s="89">
        <v>48347381</v>
      </c>
      <c r="F3178" s="90">
        <v>12527081</v>
      </c>
      <c r="G3178" s="90">
        <v>10892422</v>
      </c>
      <c r="H3178" s="91">
        <v>6544606</v>
      </c>
    </row>
    <row r="3179" spans="1:8" ht="18" customHeight="1" thickBot="1" x14ac:dyDescent="0.2">
      <c r="A3179" s="253"/>
      <c r="B3179" s="7" t="s">
        <v>1413</v>
      </c>
      <c r="C3179" s="6">
        <v>5598</v>
      </c>
      <c r="D3179" s="92" t="s">
        <v>1414</v>
      </c>
      <c r="E3179" s="92" t="s">
        <v>1414</v>
      </c>
      <c r="F3179" s="92" t="s">
        <v>1414</v>
      </c>
      <c r="G3179" s="92" t="s">
        <v>1414</v>
      </c>
      <c r="H3179" s="93" t="s">
        <v>1414</v>
      </c>
    </row>
    <row r="3180" spans="1:8" ht="18" customHeight="1" x14ac:dyDescent="0.15">
      <c r="A3180" s="3" t="s">
        <v>1415</v>
      </c>
      <c r="B3180" s="2"/>
      <c r="C3180" s="2"/>
      <c r="D3180" s="2"/>
      <c r="E3180" s="2"/>
      <c r="F3180" s="2"/>
      <c r="G3180" s="2"/>
      <c r="H3180" s="2"/>
    </row>
    <row r="3181" spans="1:8" ht="18" customHeight="1" x14ac:dyDescent="0.15">
      <c r="A3181" s="3" t="s">
        <v>2587</v>
      </c>
      <c r="B3181" s="2"/>
      <c r="C3181" s="2"/>
      <c r="D3181" s="2"/>
      <c r="E3181" s="2"/>
      <c r="F3181" s="2"/>
      <c r="G3181" s="2"/>
      <c r="H3181" s="2"/>
    </row>
    <row r="3182" spans="1:8" ht="18" customHeight="1" x14ac:dyDescent="0.15">
      <c r="A3182" s="3" t="s">
        <v>1416</v>
      </c>
      <c r="B3182" s="2"/>
      <c r="C3182" s="2"/>
      <c r="D3182" s="2"/>
      <c r="E3182" s="2"/>
      <c r="F3182" s="2"/>
      <c r="G3182" s="2"/>
      <c r="H3182" s="2"/>
    </row>
    <row r="3183" spans="1:8" ht="18" customHeight="1" x14ac:dyDescent="0.15">
      <c r="A3183" s="3" t="s">
        <v>1417</v>
      </c>
      <c r="B3183" s="2"/>
      <c r="C3183" s="2"/>
      <c r="D3183" s="2"/>
      <c r="E3183" s="2"/>
      <c r="F3183" s="2"/>
      <c r="G3183" s="2"/>
      <c r="H3183" s="2"/>
    </row>
    <row r="3184" spans="1:8" ht="24" x14ac:dyDescent="0.15">
      <c r="A3184" s="230" t="s">
        <v>1314</v>
      </c>
      <c r="B3184" s="230"/>
      <c r="C3184" s="230"/>
      <c r="D3184" s="230"/>
      <c r="E3184" s="230"/>
      <c r="F3184" s="230"/>
      <c r="G3184" s="230"/>
      <c r="H3184" s="230"/>
    </row>
    <row r="3185" spans="1:8" ht="18" customHeight="1" x14ac:dyDescent="0.15">
      <c r="A3185" s="231"/>
      <c r="B3185" s="231"/>
      <c r="C3185" s="231"/>
      <c r="D3185" s="231"/>
      <c r="E3185" s="231"/>
      <c r="F3185" s="231"/>
      <c r="G3185" s="231"/>
      <c r="H3185" s="231"/>
    </row>
    <row r="3186" spans="1:8" ht="18" customHeight="1" thickBot="1" x14ac:dyDescent="0.2">
      <c r="A3186" s="58" t="s">
        <v>1315</v>
      </c>
    </row>
    <row r="3187" spans="1:8" ht="18" customHeight="1" x14ac:dyDescent="0.15">
      <c r="A3187" s="232" t="s">
        <v>1316</v>
      </c>
      <c r="B3187" s="235" t="s">
        <v>1317</v>
      </c>
      <c r="C3187" s="238" t="s">
        <v>1318</v>
      </c>
      <c r="D3187" s="241" t="s">
        <v>1319</v>
      </c>
      <c r="E3187" s="57"/>
      <c r="F3187" s="56"/>
      <c r="G3187" s="56"/>
      <c r="H3187" s="55"/>
    </row>
    <row r="3188" spans="1:8" ht="18" customHeight="1" x14ac:dyDescent="0.15">
      <c r="A3188" s="233"/>
      <c r="B3188" s="236"/>
      <c r="C3188" s="239"/>
      <c r="D3188" s="242"/>
      <c r="E3188" s="244" t="s">
        <v>1320</v>
      </c>
      <c r="F3188" s="246" t="s">
        <v>1321</v>
      </c>
      <c r="G3188" s="246" t="s">
        <v>1322</v>
      </c>
      <c r="H3188" s="248" t="s">
        <v>1323</v>
      </c>
    </row>
    <row r="3189" spans="1:8" ht="18" customHeight="1" thickBot="1" x14ac:dyDescent="0.2">
      <c r="A3189" s="234"/>
      <c r="B3189" s="237"/>
      <c r="C3189" s="240"/>
      <c r="D3189" s="243"/>
      <c r="E3189" s="245"/>
      <c r="F3189" s="247"/>
      <c r="G3189" s="247"/>
      <c r="H3189" s="249"/>
    </row>
    <row r="3190" spans="1:8" ht="15" thickTop="1" x14ac:dyDescent="0.15">
      <c r="A3190" s="54"/>
      <c r="B3190" s="53"/>
      <c r="C3190" s="52"/>
      <c r="D3190" s="51" t="s">
        <v>1324</v>
      </c>
      <c r="E3190" s="50" t="s">
        <v>1324</v>
      </c>
      <c r="F3190" s="49" t="s">
        <v>1324</v>
      </c>
      <c r="G3190" s="49" t="s">
        <v>1324</v>
      </c>
      <c r="H3190" s="48" t="s">
        <v>1324</v>
      </c>
    </row>
    <row r="3191" spans="1:8" ht="18" customHeight="1" x14ac:dyDescent="0.15">
      <c r="A3191" s="250" t="s">
        <v>1325</v>
      </c>
      <c r="B3191" s="61" t="s">
        <v>1326</v>
      </c>
      <c r="C3191" s="62">
        <v>3713</v>
      </c>
      <c r="D3191" s="63">
        <v>721144104</v>
      </c>
      <c r="E3191" s="63">
        <v>266224138</v>
      </c>
      <c r="F3191" s="64">
        <v>226920820</v>
      </c>
      <c r="G3191" s="64">
        <v>222121679</v>
      </c>
      <c r="H3191" s="65">
        <v>5877465</v>
      </c>
    </row>
    <row r="3192" spans="1:8" ht="18" customHeight="1" x14ac:dyDescent="0.15">
      <c r="A3192" s="250"/>
      <c r="B3192" s="66" t="s">
        <v>1327</v>
      </c>
      <c r="C3192" s="67">
        <v>34</v>
      </c>
      <c r="D3192" s="68">
        <v>315791</v>
      </c>
      <c r="E3192" s="68">
        <v>90589</v>
      </c>
      <c r="F3192" s="69">
        <v>195328</v>
      </c>
      <c r="G3192" s="69">
        <v>29874</v>
      </c>
      <c r="H3192" s="70">
        <v>0</v>
      </c>
    </row>
    <row r="3193" spans="1:8" ht="18" customHeight="1" x14ac:dyDescent="0.15">
      <c r="A3193" s="250"/>
      <c r="B3193" s="66" t="s">
        <v>1328</v>
      </c>
      <c r="C3193" s="67">
        <v>65</v>
      </c>
      <c r="D3193" s="68">
        <v>0</v>
      </c>
      <c r="E3193" s="68">
        <v>0</v>
      </c>
      <c r="F3193" s="69">
        <v>0</v>
      </c>
      <c r="G3193" s="69">
        <v>0</v>
      </c>
      <c r="H3193" s="70">
        <v>0</v>
      </c>
    </row>
    <row r="3194" spans="1:8" ht="18" customHeight="1" x14ac:dyDescent="0.15">
      <c r="A3194" s="250"/>
      <c r="B3194" s="71" t="s">
        <v>1329</v>
      </c>
      <c r="C3194" s="72">
        <v>1</v>
      </c>
      <c r="D3194" s="73">
        <v>169760</v>
      </c>
      <c r="E3194" s="73">
        <v>128358</v>
      </c>
      <c r="F3194" s="74">
        <v>8679</v>
      </c>
      <c r="G3194" s="74">
        <v>31005</v>
      </c>
      <c r="H3194" s="75">
        <v>1716</v>
      </c>
    </row>
    <row r="3195" spans="1:8" ht="18" customHeight="1" x14ac:dyDescent="0.15">
      <c r="A3195" s="250"/>
      <c r="B3195" s="66" t="s">
        <v>1330</v>
      </c>
      <c r="C3195" s="67">
        <v>64</v>
      </c>
      <c r="D3195" s="68">
        <v>11931315</v>
      </c>
      <c r="E3195" s="68">
        <v>3304939</v>
      </c>
      <c r="F3195" s="69">
        <v>3053784</v>
      </c>
      <c r="G3195" s="69">
        <v>5522584</v>
      </c>
      <c r="H3195" s="70">
        <v>50006</v>
      </c>
    </row>
    <row r="3196" spans="1:8" ht="13.5" x14ac:dyDescent="0.15">
      <c r="A3196" s="250"/>
      <c r="B3196" s="76" t="s">
        <v>1331</v>
      </c>
      <c r="C3196" s="67">
        <v>181</v>
      </c>
      <c r="D3196" s="68">
        <v>31920769</v>
      </c>
      <c r="E3196" s="68">
        <v>3453399</v>
      </c>
      <c r="F3196" s="69">
        <v>1503014</v>
      </c>
      <c r="G3196" s="69">
        <v>26917786</v>
      </c>
      <c r="H3196" s="70">
        <v>46569</v>
      </c>
    </row>
    <row r="3197" spans="1:8" ht="13.5" x14ac:dyDescent="0.15">
      <c r="A3197" s="251"/>
      <c r="B3197" s="77" t="s">
        <v>1332</v>
      </c>
      <c r="C3197" s="72">
        <v>51</v>
      </c>
      <c r="D3197" s="73">
        <v>319682</v>
      </c>
      <c r="E3197" s="73">
        <v>291754</v>
      </c>
      <c r="F3197" s="74">
        <v>5493</v>
      </c>
      <c r="G3197" s="74">
        <v>20514</v>
      </c>
      <c r="H3197" s="75">
        <v>1919</v>
      </c>
    </row>
    <row r="3198" spans="1:8" ht="18" customHeight="1" x14ac:dyDescent="0.15">
      <c r="A3198" s="30" t="s">
        <v>1333</v>
      </c>
      <c r="B3198" s="78" t="s">
        <v>1334</v>
      </c>
      <c r="C3198" s="79">
        <v>31</v>
      </c>
      <c r="D3198" s="80">
        <v>115781</v>
      </c>
      <c r="E3198" s="80">
        <v>113046</v>
      </c>
      <c r="F3198" s="81">
        <v>1806</v>
      </c>
      <c r="G3198" s="81">
        <v>513</v>
      </c>
      <c r="H3198" s="82">
        <v>415</v>
      </c>
    </row>
    <row r="3199" spans="1:8" ht="13.5" x14ac:dyDescent="0.15">
      <c r="A3199" s="252" t="s">
        <v>1335</v>
      </c>
      <c r="B3199" s="17" t="s">
        <v>1336</v>
      </c>
      <c r="C3199" s="16">
        <v>3118</v>
      </c>
      <c r="D3199" s="83">
        <v>60687696</v>
      </c>
      <c r="E3199" s="83">
        <v>9212931</v>
      </c>
      <c r="F3199" s="84">
        <v>9590741</v>
      </c>
      <c r="G3199" s="84">
        <v>34027150</v>
      </c>
      <c r="H3199" s="85">
        <v>7856872</v>
      </c>
    </row>
    <row r="3200" spans="1:8" ht="24" customHeight="1" x14ac:dyDescent="0.15">
      <c r="A3200" s="250"/>
      <c r="B3200" s="23" t="s">
        <v>1337</v>
      </c>
      <c r="C3200" s="22">
        <v>3050</v>
      </c>
      <c r="D3200" s="86">
        <v>14415582</v>
      </c>
      <c r="E3200" s="86">
        <v>594737</v>
      </c>
      <c r="F3200" s="87">
        <v>3595791</v>
      </c>
      <c r="G3200" s="87">
        <v>8307518</v>
      </c>
      <c r="H3200" s="88">
        <v>1917534</v>
      </c>
    </row>
    <row r="3201" spans="1:8" ht="18" customHeight="1" x14ac:dyDescent="0.15">
      <c r="A3201" s="250"/>
      <c r="B3201" s="24" t="s">
        <v>1338</v>
      </c>
      <c r="C3201" s="22">
        <v>618</v>
      </c>
      <c r="D3201" s="86">
        <v>32451710</v>
      </c>
      <c r="E3201" s="86">
        <v>2021771</v>
      </c>
      <c r="F3201" s="87">
        <v>6978397</v>
      </c>
      <c r="G3201" s="87">
        <v>16750962</v>
      </c>
      <c r="H3201" s="88">
        <v>6700577</v>
      </c>
    </row>
    <row r="3202" spans="1:8" ht="13.5" x14ac:dyDescent="0.15">
      <c r="A3202" s="250"/>
      <c r="B3202" s="23" t="s">
        <v>1339</v>
      </c>
      <c r="C3202" s="22">
        <v>1623</v>
      </c>
      <c r="D3202" s="86">
        <v>48241100</v>
      </c>
      <c r="E3202" s="86">
        <v>4413486</v>
      </c>
      <c r="F3202" s="87">
        <v>8725156</v>
      </c>
      <c r="G3202" s="87">
        <v>30960282</v>
      </c>
      <c r="H3202" s="88">
        <v>4142175</v>
      </c>
    </row>
    <row r="3203" spans="1:8" ht="18" customHeight="1" x14ac:dyDescent="0.15">
      <c r="A3203" s="250"/>
      <c r="B3203" s="23" t="s">
        <v>1340</v>
      </c>
      <c r="C3203" s="22">
        <v>283</v>
      </c>
      <c r="D3203" s="86">
        <v>4333855</v>
      </c>
      <c r="E3203" s="86">
        <v>254984</v>
      </c>
      <c r="F3203" s="87">
        <v>109889</v>
      </c>
      <c r="G3203" s="87">
        <v>3917444</v>
      </c>
      <c r="H3203" s="88">
        <v>51535</v>
      </c>
    </row>
    <row r="3204" spans="1:8" ht="18" customHeight="1" x14ac:dyDescent="0.15">
      <c r="A3204" s="250"/>
      <c r="B3204" s="23" t="s">
        <v>1341</v>
      </c>
      <c r="C3204" s="22">
        <v>111</v>
      </c>
      <c r="D3204" s="86">
        <v>1046600</v>
      </c>
      <c r="E3204" s="86">
        <v>240200</v>
      </c>
      <c r="F3204" s="87">
        <v>69000</v>
      </c>
      <c r="G3204" s="87">
        <v>473780</v>
      </c>
      <c r="H3204" s="88">
        <v>263620</v>
      </c>
    </row>
    <row r="3205" spans="1:8" ht="13.5" x14ac:dyDescent="0.15">
      <c r="A3205" s="250"/>
      <c r="B3205" s="23" t="s">
        <v>1342</v>
      </c>
      <c r="C3205" s="22">
        <v>30</v>
      </c>
      <c r="D3205" s="86">
        <v>253821</v>
      </c>
      <c r="E3205" s="86">
        <v>120715</v>
      </c>
      <c r="F3205" s="87">
        <v>16490</v>
      </c>
      <c r="G3205" s="87">
        <v>68368</v>
      </c>
      <c r="H3205" s="88">
        <v>48248</v>
      </c>
    </row>
    <row r="3206" spans="1:8" ht="18" customHeight="1" x14ac:dyDescent="0.15">
      <c r="A3206" s="250"/>
      <c r="B3206" s="23" t="s">
        <v>1343</v>
      </c>
      <c r="C3206" s="22">
        <v>0</v>
      </c>
      <c r="D3206" s="86">
        <v>0</v>
      </c>
      <c r="E3206" s="86">
        <v>0</v>
      </c>
      <c r="F3206" s="87">
        <v>0</v>
      </c>
      <c r="G3206" s="87">
        <v>0</v>
      </c>
      <c r="H3206" s="88">
        <v>0</v>
      </c>
    </row>
    <row r="3207" spans="1:8" ht="18" customHeight="1" x14ac:dyDescent="0.15">
      <c r="A3207" s="250"/>
      <c r="B3207" s="23" t="s">
        <v>1344</v>
      </c>
      <c r="C3207" s="22">
        <v>244</v>
      </c>
      <c r="D3207" s="86">
        <v>9170960</v>
      </c>
      <c r="E3207" s="86">
        <v>853390</v>
      </c>
      <c r="F3207" s="87">
        <v>2824190</v>
      </c>
      <c r="G3207" s="87">
        <v>3381910</v>
      </c>
      <c r="H3207" s="88">
        <v>2111470</v>
      </c>
    </row>
    <row r="3208" spans="1:8" ht="13.5" x14ac:dyDescent="0.15">
      <c r="A3208" s="250"/>
      <c r="B3208" s="23" t="s">
        <v>1345</v>
      </c>
      <c r="C3208" s="22">
        <v>3090</v>
      </c>
      <c r="D3208" s="86">
        <v>62367085</v>
      </c>
      <c r="E3208" s="86">
        <v>13544353</v>
      </c>
      <c r="F3208" s="87">
        <v>9910488</v>
      </c>
      <c r="G3208" s="87">
        <v>32140896</v>
      </c>
      <c r="H3208" s="88">
        <v>6771347</v>
      </c>
    </row>
    <row r="3209" spans="1:8" ht="18" customHeight="1" x14ac:dyDescent="0.15">
      <c r="A3209" s="250"/>
      <c r="B3209" s="23" t="s">
        <v>1346</v>
      </c>
      <c r="C3209" s="22">
        <v>608</v>
      </c>
      <c r="D3209" s="86">
        <v>15413910</v>
      </c>
      <c r="E3209" s="86">
        <v>2230377</v>
      </c>
      <c r="F3209" s="87">
        <v>3048981</v>
      </c>
      <c r="G3209" s="87">
        <v>8766557</v>
      </c>
      <c r="H3209" s="88">
        <v>1367993</v>
      </c>
    </row>
    <row r="3210" spans="1:8" ht="18" customHeight="1" x14ac:dyDescent="0.15">
      <c r="A3210" s="250"/>
      <c r="B3210" s="23" t="s">
        <v>1347</v>
      </c>
      <c r="C3210" s="22">
        <v>48499</v>
      </c>
      <c r="D3210" s="86">
        <v>12955155</v>
      </c>
      <c r="E3210" s="86">
        <v>885636</v>
      </c>
      <c r="F3210" s="87">
        <v>5614339</v>
      </c>
      <c r="G3210" s="87">
        <v>6107480</v>
      </c>
      <c r="H3210" s="88">
        <v>347700</v>
      </c>
    </row>
    <row r="3211" spans="1:8" ht="13.5" x14ac:dyDescent="0.15">
      <c r="A3211" s="250"/>
      <c r="B3211" s="23" t="s">
        <v>1348</v>
      </c>
      <c r="C3211" s="22">
        <v>646</v>
      </c>
      <c r="D3211" s="86">
        <v>1639676</v>
      </c>
      <c r="E3211" s="86">
        <v>32761</v>
      </c>
      <c r="F3211" s="87">
        <v>1118547</v>
      </c>
      <c r="G3211" s="87">
        <v>488368</v>
      </c>
      <c r="H3211" s="88">
        <v>0</v>
      </c>
    </row>
    <row r="3212" spans="1:8" ht="18" customHeight="1" x14ac:dyDescent="0.15">
      <c r="A3212" s="250"/>
      <c r="B3212" s="23" t="s">
        <v>1349</v>
      </c>
      <c r="C3212" s="22">
        <v>52</v>
      </c>
      <c r="D3212" s="86">
        <v>507600</v>
      </c>
      <c r="E3212" s="86">
        <v>123478</v>
      </c>
      <c r="F3212" s="87">
        <v>70000</v>
      </c>
      <c r="G3212" s="87">
        <v>263401</v>
      </c>
      <c r="H3212" s="88">
        <v>50721</v>
      </c>
    </row>
    <row r="3213" spans="1:8" ht="18" customHeight="1" x14ac:dyDescent="0.15">
      <c r="A3213" s="250"/>
      <c r="B3213" s="23" t="s">
        <v>1350</v>
      </c>
      <c r="C3213" s="22">
        <v>449</v>
      </c>
      <c r="D3213" s="86">
        <v>2365791</v>
      </c>
      <c r="E3213" s="86">
        <v>212332</v>
      </c>
      <c r="F3213" s="87">
        <v>1176983</v>
      </c>
      <c r="G3213" s="87">
        <v>920876</v>
      </c>
      <c r="H3213" s="88">
        <v>55600</v>
      </c>
    </row>
    <row r="3214" spans="1:8" ht="13.5" x14ac:dyDescent="0.15">
      <c r="A3214" s="250"/>
      <c r="B3214" s="23" t="s">
        <v>1351</v>
      </c>
      <c r="C3214" s="22">
        <v>287</v>
      </c>
      <c r="D3214" s="86">
        <v>7630000</v>
      </c>
      <c r="E3214" s="86">
        <v>689070</v>
      </c>
      <c r="F3214" s="87">
        <v>1345000</v>
      </c>
      <c r="G3214" s="87">
        <v>5075400</v>
      </c>
      <c r="H3214" s="88">
        <v>520530</v>
      </c>
    </row>
    <row r="3215" spans="1:8" ht="18" customHeight="1" x14ac:dyDescent="0.15">
      <c r="A3215" s="250"/>
      <c r="B3215" s="23" t="s">
        <v>1352</v>
      </c>
      <c r="C3215" s="22">
        <v>49</v>
      </c>
      <c r="D3215" s="86">
        <v>1883600</v>
      </c>
      <c r="E3215" s="86">
        <v>186900</v>
      </c>
      <c r="F3215" s="87">
        <v>627500</v>
      </c>
      <c r="G3215" s="87">
        <v>916900</v>
      </c>
      <c r="H3215" s="88">
        <v>152300</v>
      </c>
    </row>
    <row r="3216" spans="1:8" ht="18" customHeight="1" x14ac:dyDescent="0.15">
      <c r="A3216" s="250"/>
      <c r="B3216" s="23" t="s">
        <v>1353</v>
      </c>
      <c r="C3216" s="22">
        <v>0</v>
      </c>
      <c r="D3216" s="86">
        <v>0</v>
      </c>
      <c r="E3216" s="86">
        <v>0</v>
      </c>
      <c r="F3216" s="87">
        <v>0</v>
      </c>
      <c r="G3216" s="87">
        <v>0</v>
      </c>
      <c r="H3216" s="88">
        <v>0</v>
      </c>
    </row>
    <row r="3217" spans="1:8" ht="18" customHeight="1" x14ac:dyDescent="0.15">
      <c r="A3217" s="250"/>
      <c r="B3217" s="23" t="s">
        <v>1354</v>
      </c>
      <c r="C3217" s="22">
        <v>3</v>
      </c>
      <c r="D3217" s="86">
        <v>10800</v>
      </c>
      <c r="E3217" s="86">
        <v>0</v>
      </c>
      <c r="F3217" s="87">
        <v>0</v>
      </c>
      <c r="G3217" s="87">
        <v>10800</v>
      </c>
      <c r="H3217" s="88">
        <v>0</v>
      </c>
    </row>
    <row r="3218" spans="1:8" ht="18" customHeight="1" x14ac:dyDescent="0.15">
      <c r="A3218" s="250"/>
      <c r="B3218" s="23" t="s">
        <v>1355</v>
      </c>
      <c r="C3218" s="22">
        <v>1</v>
      </c>
      <c r="D3218" s="86">
        <v>3000</v>
      </c>
      <c r="E3218" s="86">
        <v>100</v>
      </c>
      <c r="F3218" s="87">
        <v>500</v>
      </c>
      <c r="G3218" s="87">
        <v>1600</v>
      </c>
      <c r="H3218" s="88">
        <v>800</v>
      </c>
    </row>
    <row r="3219" spans="1:8" ht="18" customHeight="1" x14ac:dyDescent="0.15">
      <c r="A3219" s="251"/>
      <c r="B3219" s="23" t="s">
        <v>1356</v>
      </c>
      <c r="C3219" s="22">
        <v>14</v>
      </c>
      <c r="D3219" s="86">
        <v>9701</v>
      </c>
      <c r="E3219" s="86">
        <v>466</v>
      </c>
      <c r="F3219" s="87">
        <v>8000</v>
      </c>
      <c r="G3219" s="87">
        <v>1235</v>
      </c>
      <c r="H3219" s="88">
        <v>0</v>
      </c>
    </row>
    <row r="3220" spans="1:8" ht="18" customHeight="1" x14ac:dyDescent="0.15">
      <c r="A3220" s="18" t="s">
        <v>1357</v>
      </c>
      <c r="B3220" s="17" t="s">
        <v>1358</v>
      </c>
      <c r="C3220" s="16">
        <v>3378</v>
      </c>
      <c r="D3220" s="80">
        <v>18276363</v>
      </c>
      <c r="E3220" s="80">
        <v>834000</v>
      </c>
      <c r="F3220" s="81">
        <v>8043379</v>
      </c>
      <c r="G3220" s="81">
        <v>6700993</v>
      </c>
      <c r="H3220" s="82">
        <v>2697991</v>
      </c>
    </row>
    <row r="3221" spans="1:8" ht="18" customHeight="1" x14ac:dyDescent="0.15">
      <c r="A3221" s="252" t="s">
        <v>1359</v>
      </c>
      <c r="B3221" s="12" t="s">
        <v>1360</v>
      </c>
      <c r="C3221" s="11">
        <v>5984</v>
      </c>
      <c r="D3221" s="89">
        <v>80945664</v>
      </c>
      <c r="E3221" s="89">
        <v>50177065</v>
      </c>
      <c r="F3221" s="90">
        <v>12846448</v>
      </c>
      <c r="G3221" s="90">
        <v>11168788</v>
      </c>
      <c r="H3221" s="91">
        <v>6753362</v>
      </c>
    </row>
    <row r="3222" spans="1:8" ht="18" customHeight="1" thickBot="1" x14ac:dyDescent="0.2">
      <c r="A3222" s="253"/>
      <c r="B3222" s="7" t="s">
        <v>1361</v>
      </c>
      <c r="C3222" s="6">
        <v>5549</v>
      </c>
      <c r="D3222" s="92" t="s">
        <v>1362</v>
      </c>
      <c r="E3222" s="92" t="s">
        <v>54</v>
      </c>
      <c r="F3222" s="92" t="s">
        <v>54</v>
      </c>
      <c r="G3222" s="92" t="s">
        <v>54</v>
      </c>
      <c r="H3222" s="93" t="s">
        <v>54</v>
      </c>
    </row>
    <row r="3223" spans="1:8" ht="18" customHeight="1" x14ac:dyDescent="0.15">
      <c r="A3223" s="3" t="s">
        <v>1363</v>
      </c>
      <c r="B3223" s="2"/>
      <c r="C3223" s="2"/>
      <c r="D3223" s="2"/>
      <c r="E3223" s="2"/>
      <c r="F3223" s="2"/>
      <c r="G3223" s="2"/>
      <c r="H3223" s="2"/>
    </row>
    <row r="3224" spans="1:8" ht="12" x14ac:dyDescent="0.15">
      <c r="A3224" s="3" t="s">
        <v>2587</v>
      </c>
      <c r="B3224" s="2"/>
      <c r="C3224" s="2"/>
      <c r="D3224" s="2"/>
      <c r="E3224" s="2"/>
      <c r="F3224" s="2"/>
      <c r="G3224" s="2"/>
      <c r="H3224" s="2"/>
    </row>
    <row r="3225" spans="1:8" ht="18" customHeight="1" x14ac:dyDescent="0.15">
      <c r="A3225" s="3" t="s">
        <v>1364</v>
      </c>
      <c r="B3225" s="2"/>
      <c r="C3225" s="2"/>
      <c r="D3225" s="2"/>
      <c r="E3225" s="2"/>
      <c r="F3225" s="2"/>
      <c r="G3225" s="2"/>
      <c r="H3225" s="2"/>
    </row>
    <row r="3226" spans="1:8" ht="18" customHeight="1" x14ac:dyDescent="0.15">
      <c r="A3226" s="3" t="s">
        <v>1365</v>
      </c>
      <c r="B3226" s="2"/>
      <c r="C3226" s="2"/>
      <c r="D3226" s="2"/>
      <c r="E3226" s="2"/>
      <c r="F3226" s="2"/>
      <c r="G3226" s="2"/>
      <c r="H3226" s="2"/>
    </row>
    <row r="3227" spans="1:8" ht="18" customHeight="1" x14ac:dyDescent="0.15">
      <c r="A3227" s="230" t="s">
        <v>1262</v>
      </c>
      <c r="B3227" s="230"/>
      <c r="C3227" s="230"/>
      <c r="D3227" s="230"/>
      <c r="E3227" s="230"/>
      <c r="F3227" s="230"/>
      <c r="G3227" s="230"/>
      <c r="H3227" s="230"/>
    </row>
    <row r="3228" spans="1:8" ht="18" customHeight="1" x14ac:dyDescent="0.15">
      <c r="A3228" s="231"/>
      <c r="B3228" s="231"/>
      <c r="C3228" s="231"/>
      <c r="D3228" s="231"/>
      <c r="E3228" s="231"/>
      <c r="F3228" s="231"/>
      <c r="G3228" s="231"/>
      <c r="H3228" s="231"/>
    </row>
    <row r="3229" spans="1:8" ht="18" customHeight="1" thickBot="1" x14ac:dyDescent="0.2">
      <c r="A3229" s="58" t="s">
        <v>1263</v>
      </c>
    </row>
    <row r="3230" spans="1:8" ht="14.25" x14ac:dyDescent="0.15">
      <c r="A3230" s="232" t="s">
        <v>1264</v>
      </c>
      <c r="B3230" s="235" t="s">
        <v>1265</v>
      </c>
      <c r="C3230" s="238" t="s">
        <v>1266</v>
      </c>
      <c r="D3230" s="241" t="s">
        <v>1267</v>
      </c>
      <c r="E3230" s="57"/>
      <c r="F3230" s="56"/>
      <c r="G3230" s="56"/>
      <c r="H3230" s="55"/>
    </row>
    <row r="3231" spans="1:8" ht="18" customHeight="1" x14ac:dyDescent="0.15">
      <c r="A3231" s="233"/>
      <c r="B3231" s="236"/>
      <c r="C3231" s="239"/>
      <c r="D3231" s="242"/>
      <c r="E3231" s="244" t="s">
        <v>1268</v>
      </c>
      <c r="F3231" s="246" t="s">
        <v>1269</v>
      </c>
      <c r="G3231" s="246" t="s">
        <v>1270</v>
      </c>
      <c r="H3231" s="248" t="s">
        <v>1271</v>
      </c>
    </row>
    <row r="3232" spans="1:8" ht="18" customHeight="1" thickBot="1" x14ac:dyDescent="0.2">
      <c r="A3232" s="234"/>
      <c r="B3232" s="237"/>
      <c r="C3232" s="240"/>
      <c r="D3232" s="243"/>
      <c r="E3232" s="245"/>
      <c r="F3232" s="247"/>
      <c r="G3232" s="247"/>
      <c r="H3232" s="249"/>
    </row>
    <row r="3233" spans="1:8" ht="18" customHeight="1" thickTop="1" x14ac:dyDescent="0.15">
      <c r="A3233" s="54"/>
      <c r="B3233" s="53"/>
      <c r="C3233" s="52"/>
      <c r="D3233" s="51" t="s">
        <v>1272</v>
      </c>
      <c r="E3233" s="50" t="s">
        <v>1272</v>
      </c>
      <c r="F3233" s="49" t="s">
        <v>1272</v>
      </c>
      <c r="G3233" s="49" t="s">
        <v>1272</v>
      </c>
      <c r="H3233" s="48" t="s">
        <v>1272</v>
      </c>
    </row>
    <row r="3234" spans="1:8" ht="18" customHeight="1" x14ac:dyDescent="0.15">
      <c r="A3234" s="250" t="s">
        <v>1273</v>
      </c>
      <c r="B3234" s="61" t="s">
        <v>1274</v>
      </c>
      <c r="C3234" s="62">
        <v>3715</v>
      </c>
      <c r="D3234" s="63">
        <v>711295721</v>
      </c>
      <c r="E3234" s="63">
        <v>262664001</v>
      </c>
      <c r="F3234" s="64">
        <v>223488754</v>
      </c>
      <c r="G3234" s="64">
        <v>219170886</v>
      </c>
      <c r="H3234" s="65">
        <v>5972077</v>
      </c>
    </row>
    <row r="3235" spans="1:8" ht="18" customHeight="1" x14ac:dyDescent="0.15">
      <c r="A3235" s="250"/>
      <c r="B3235" s="66" t="s">
        <v>1275</v>
      </c>
      <c r="C3235" s="67">
        <v>34</v>
      </c>
      <c r="D3235" s="68">
        <v>315822</v>
      </c>
      <c r="E3235" s="68">
        <v>91388</v>
      </c>
      <c r="F3235" s="69">
        <v>191949</v>
      </c>
      <c r="G3235" s="69">
        <v>32484</v>
      </c>
      <c r="H3235" s="70">
        <v>0</v>
      </c>
    </row>
    <row r="3236" spans="1:8" ht="13.5" x14ac:dyDescent="0.15">
      <c r="A3236" s="250"/>
      <c r="B3236" s="66" t="s">
        <v>1276</v>
      </c>
      <c r="C3236" s="67">
        <v>61</v>
      </c>
      <c r="D3236" s="68">
        <v>0</v>
      </c>
      <c r="E3236" s="68">
        <v>0</v>
      </c>
      <c r="F3236" s="69">
        <v>0</v>
      </c>
      <c r="G3236" s="69">
        <v>0</v>
      </c>
      <c r="H3236" s="70">
        <v>0</v>
      </c>
    </row>
    <row r="3237" spans="1:8" ht="13.5" x14ac:dyDescent="0.15">
      <c r="A3237" s="250"/>
      <c r="B3237" s="71" t="s">
        <v>1277</v>
      </c>
      <c r="C3237" s="72">
        <v>1</v>
      </c>
      <c r="D3237" s="73">
        <v>165723</v>
      </c>
      <c r="E3237" s="73">
        <v>125271</v>
      </c>
      <c r="F3237" s="74">
        <v>8481</v>
      </c>
      <c r="G3237" s="74">
        <v>30268</v>
      </c>
      <c r="H3237" s="75">
        <v>1702</v>
      </c>
    </row>
    <row r="3238" spans="1:8" ht="18" customHeight="1" x14ac:dyDescent="0.15">
      <c r="A3238" s="250"/>
      <c r="B3238" s="66" t="s">
        <v>1278</v>
      </c>
      <c r="C3238" s="67">
        <v>63</v>
      </c>
      <c r="D3238" s="68">
        <v>11423648</v>
      </c>
      <c r="E3238" s="68">
        <v>3188258</v>
      </c>
      <c r="F3238" s="69">
        <v>2903068</v>
      </c>
      <c r="G3238" s="69">
        <v>5292062</v>
      </c>
      <c r="H3238" s="70">
        <v>40259</v>
      </c>
    </row>
    <row r="3239" spans="1:8" ht="13.5" x14ac:dyDescent="0.15">
      <c r="A3239" s="250"/>
      <c r="B3239" s="76" t="s">
        <v>1279</v>
      </c>
      <c r="C3239" s="67">
        <v>180</v>
      </c>
      <c r="D3239" s="68">
        <v>30861671</v>
      </c>
      <c r="E3239" s="68">
        <v>3452049</v>
      </c>
      <c r="F3239" s="69">
        <v>1380621</v>
      </c>
      <c r="G3239" s="69">
        <v>25993030</v>
      </c>
      <c r="H3239" s="70">
        <v>35969</v>
      </c>
    </row>
    <row r="3240" spans="1:8" ht="24" customHeight="1" x14ac:dyDescent="0.15">
      <c r="A3240" s="251"/>
      <c r="B3240" s="77" t="s">
        <v>1280</v>
      </c>
      <c r="C3240" s="72">
        <v>51</v>
      </c>
      <c r="D3240" s="73">
        <v>326958</v>
      </c>
      <c r="E3240" s="73">
        <v>298193</v>
      </c>
      <c r="F3240" s="74">
        <v>6803</v>
      </c>
      <c r="G3240" s="74">
        <v>20626</v>
      </c>
      <c r="H3240" s="75">
        <v>1334</v>
      </c>
    </row>
    <row r="3241" spans="1:8" ht="18" customHeight="1" x14ac:dyDescent="0.15">
      <c r="A3241" s="30" t="s">
        <v>1281</v>
      </c>
      <c r="B3241" s="78" t="s">
        <v>1282</v>
      </c>
      <c r="C3241" s="79">
        <v>31</v>
      </c>
      <c r="D3241" s="80">
        <v>112000</v>
      </c>
      <c r="E3241" s="80">
        <v>109695</v>
      </c>
      <c r="F3241" s="81">
        <v>1663</v>
      </c>
      <c r="G3241" s="81">
        <v>361</v>
      </c>
      <c r="H3241" s="82">
        <v>280</v>
      </c>
    </row>
    <row r="3242" spans="1:8" ht="13.5" x14ac:dyDescent="0.15">
      <c r="A3242" s="252" t="s">
        <v>1283</v>
      </c>
      <c r="B3242" s="17" t="s">
        <v>1284</v>
      </c>
      <c r="C3242" s="16">
        <v>3106</v>
      </c>
      <c r="D3242" s="83">
        <v>60526696</v>
      </c>
      <c r="E3242" s="83">
        <v>9176843</v>
      </c>
      <c r="F3242" s="84">
        <v>9584331</v>
      </c>
      <c r="G3242" s="84">
        <v>33935151</v>
      </c>
      <c r="H3242" s="85">
        <v>7830370</v>
      </c>
    </row>
    <row r="3243" spans="1:8" ht="18" customHeight="1" x14ac:dyDescent="0.15">
      <c r="A3243" s="250"/>
      <c r="B3243" s="23" t="s">
        <v>1285</v>
      </c>
      <c r="C3243" s="22">
        <v>3037</v>
      </c>
      <c r="D3243" s="86">
        <v>14380382</v>
      </c>
      <c r="E3243" s="86">
        <v>591130</v>
      </c>
      <c r="F3243" s="87">
        <v>3577132</v>
      </c>
      <c r="G3243" s="87">
        <v>8312602</v>
      </c>
      <c r="H3243" s="88">
        <v>1899517</v>
      </c>
    </row>
    <row r="3244" spans="1:8" ht="18" customHeight="1" x14ac:dyDescent="0.15">
      <c r="A3244" s="250"/>
      <c r="B3244" s="24" t="s">
        <v>1286</v>
      </c>
      <c r="C3244" s="22">
        <v>621</v>
      </c>
      <c r="D3244" s="86">
        <v>32741410</v>
      </c>
      <c r="E3244" s="86">
        <v>2007648</v>
      </c>
      <c r="F3244" s="87">
        <v>7015806</v>
      </c>
      <c r="G3244" s="87">
        <v>17018308</v>
      </c>
      <c r="H3244" s="88">
        <v>6699645</v>
      </c>
    </row>
    <row r="3245" spans="1:8" ht="13.5" x14ac:dyDescent="0.15">
      <c r="A3245" s="250"/>
      <c r="B3245" s="23" t="s">
        <v>1287</v>
      </c>
      <c r="C3245" s="22">
        <v>1612</v>
      </c>
      <c r="D3245" s="86">
        <v>47897300</v>
      </c>
      <c r="E3245" s="86">
        <v>4420116</v>
      </c>
      <c r="F3245" s="87">
        <v>8585856</v>
      </c>
      <c r="G3245" s="87">
        <v>30887932</v>
      </c>
      <c r="H3245" s="88">
        <v>4003395</v>
      </c>
    </row>
    <row r="3246" spans="1:8" ht="18" customHeight="1" x14ac:dyDescent="0.15">
      <c r="A3246" s="250"/>
      <c r="B3246" s="23" t="s">
        <v>1288</v>
      </c>
      <c r="C3246" s="22">
        <v>278</v>
      </c>
      <c r="D3246" s="86">
        <v>4280855</v>
      </c>
      <c r="E3246" s="86">
        <v>254502</v>
      </c>
      <c r="F3246" s="87">
        <v>109889</v>
      </c>
      <c r="G3246" s="87">
        <v>3864927</v>
      </c>
      <c r="H3246" s="88">
        <v>51535</v>
      </c>
    </row>
    <row r="3247" spans="1:8" ht="18" customHeight="1" x14ac:dyDescent="0.15">
      <c r="A3247" s="250"/>
      <c r="B3247" s="23" t="s">
        <v>1289</v>
      </c>
      <c r="C3247" s="22">
        <v>111</v>
      </c>
      <c r="D3247" s="86">
        <v>1046600</v>
      </c>
      <c r="E3247" s="86">
        <v>245500</v>
      </c>
      <c r="F3247" s="87">
        <v>68800</v>
      </c>
      <c r="G3247" s="87">
        <v>473980</v>
      </c>
      <c r="H3247" s="88">
        <v>258320</v>
      </c>
    </row>
    <row r="3248" spans="1:8" ht="13.5" x14ac:dyDescent="0.15">
      <c r="A3248" s="250"/>
      <c r="B3248" s="23" t="s">
        <v>1290</v>
      </c>
      <c r="C3248" s="22">
        <v>30</v>
      </c>
      <c r="D3248" s="86">
        <v>253821</v>
      </c>
      <c r="E3248" s="86">
        <v>120715</v>
      </c>
      <c r="F3248" s="87">
        <v>16490</v>
      </c>
      <c r="G3248" s="87">
        <v>68533</v>
      </c>
      <c r="H3248" s="88">
        <v>48083</v>
      </c>
    </row>
    <row r="3249" spans="1:8" ht="18" customHeight="1" x14ac:dyDescent="0.15">
      <c r="A3249" s="250"/>
      <c r="B3249" s="23" t="s">
        <v>1291</v>
      </c>
      <c r="C3249" s="22">
        <v>0</v>
      </c>
      <c r="D3249" s="86">
        <v>0</v>
      </c>
      <c r="E3249" s="86">
        <v>0</v>
      </c>
      <c r="F3249" s="87">
        <v>0</v>
      </c>
      <c r="G3249" s="87">
        <v>0</v>
      </c>
      <c r="H3249" s="88">
        <v>0</v>
      </c>
    </row>
    <row r="3250" spans="1:8" ht="18" customHeight="1" x14ac:dyDescent="0.15">
      <c r="A3250" s="250"/>
      <c r="B3250" s="23" t="s">
        <v>1292</v>
      </c>
      <c r="C3250" s="22">
        <v>244</v>
      </c>
      <c r="D3250" s="86">
        <v>9296360</v>
      </c>
      <c r="E3250" s="86">
        <v>869180</v>
      </c>
      <c r="F3250" s="87">
        <v>2839700</v>
      </c>
      <c r="G3250" s="87">
        <v>3453160</v>
      </c>
      <c r="H3250" s="88">
        <v>2134320</v>
      </c>
    </row>
    <row r="3251" spans="1:8" ht="13.5" x14ac:dyDescent="0.15">
      <c r="A3251" s="250"/>
      <c r="B3251" s="23" t="s">
        <v>1293</v>
      </c>
      <c r="C3251" s="22">
        <v>3086</v>
      </c>
      <c r="D3251" s="86">
        <v>62523053</v>
      </c>
      <c r="E3251" s="86">
        <v>13649537</v>
      </c>
      <c r="F3251" s="87">
        <v>9807955</v>
      </c>
      <c r="G3251" s="87">
        <v>32294344</v>
      </c>
      <c r="H3251" s="88">
        <v>6771215</v>
      </c>
    </row>
    <row r="3252" spans="1:8" ht="18" customHeight="1" x14ac:dyDescent="0.15">
      <c r="A3252" s="250"/>
      <c r="B3252" s="23" t="s">
        <v>1294</v>
      </c>
      <c r="C3252" s="22">
        <v>605</v>
      </c>
      <c r="D3252" s="86">
        <v>15316810</v>
      </c>
      <c r="E3252" s="86">
        <v>2212587</v>
      </c>
      <c r="F3252" s="87">
        <v>3013141</v>
      </c>
      <c r="G3252" s="87">
        <v>8732085</v>
      </c>
      <c r="H3252" s="88">
        <v>1358995</v>
      </c>
    </row>
    <row r="3253" spans="1:8" ht="18" customHeight="1" x14ac:dyDescent="0.15">
      <c r="A3253" s="250"/>
      <c r="B3253" s="23" t="s">
        <v>1295</v>
      </c>
      <c r="C3253" s="22">
        <v>48329</v>
      </c>
      <c r="D3253" s="86">
        <v>13071455</v>
      </c>
      <c r="E3253" s="86">
        <v>889036</v>
      </c>
      <c r="F3253" s="87">
        <v>5725528</v>
      </c>
      <c r="G3253" s="87">
        <v>6109301</v>
      </c>
      <c r="H3253" s="88">
        <v>347590</v>
      </c>
    </row>
    <row r="3254" spans="1:8" ht="13.5" x14ac:dyDescent="0.15">
      <c r="A3254" s="250"/>
      <c r="B3254" s="23" t="s">
        <v>1296</v>
      </c>
      <c r="C3254" s="22">
        <v>674</v>
      </c>
      <c r="D3254" s="86">
        <v>1752727</v>
      </c>
      <c r="E3254" s="86">
        <v>32761</v>
      </c>
      <c r="F3254" s="87">
        <v>1213229</v>
      </c>
      <c r="G3254" s="87">
        <v>506736</v>
      </c>
      <c r="H3254" s="88">
        <v>0</v>
      </c>
    </row>
    <row r="3255" spans="1:8" ht="18" customHeight="1" x14ac:dyDescent="0.15">
      <c r="A3255" s="250"/>
      <c r="B3255" s="23" t="s">
        <v>1297</v>
      </c>
      <c r="C3255" s="22">
        <v>52</v>
      </c>
      <c r="D3255" s="86">
        <v>507600</v>
      </c>
      <c r="E3255" s="86">
        <v>123087</v>
      </c>
      <c r="F3255" s="87">
        <v>70000</v>
      </c>
      <c r="G3255" s="87">
        <v>263792</v>
      </c>
      <c r="H3255" s="88">
        <v>50721</v>
      </c>
    </row>
    <row r="3256" spans="1:8" ht="18" customHeight="1" x14ac:dyDescent="0.15">
      <c r="A3256" s="250"/>
      <c r="B3256" s="23" t="s">
        <v>1298</v>
      </c>
      <c r="C3256" s="22">
        <v>443</v>
      </c>
      <c r="D3256" s="86">
        <v>2366891</v>
      </c>
      <c r="E3256" s="86">
        <v>209632</v>
      </c>
      <c r="F3256" s="87">
        <v>1184483</v>
      </c>
      <c r="G3256" s="87">
        <v>917176</v>
      </c>
      <c r="H3256" s="88">
        <v>55600</v>
      </c>
    </row>
    <row r="3257" spans="1:8" ht="18" customHeight="1" x14ac:dyDescent="0.15">
      <c r="A3257" s="250"/>
      <c r="B3257" s="23" t="s">
        <v>1299</v>
      </c>
      <c r="C3257" s="22">
        <v>282</v>
      </c>
      <c r="D3257" s="86">
        <v>7520700</v>
      </c>
      <c r="E3257" s="86">
        <v>694970</v>
      </c>
      <c r="F3257" s="87">
        <v>1336600</v>
      </c>
      <c r="G3257" s="87">
        <v>4977800</v>
      </c>
      <c r="H3257" s="88">
        <v>511330</v>
      </c>
    </row>
    <row r="3258" spans="1:8" ht="18" customHeight="1" x14ac:dyDescent="0.15">
      <c r="A3258" s="250"/>
      <c r="B3258" s="23" t="s">
        <v>1300</v>
      </c>
      <c r="C3258" s="22">
        <v>49</v>
      </c>
      <c r="D3258" s="86">
        <v>1883600</v>
      </c>
      <c r="E3258" s="86">
        <v>186800</v>
      </c>
      <c r="F3258" s="87">
        <v>627600</v>
      </c>
      <c r="G3258" s="87">
        <v>919700</v>
      </c>
      <c r="H3258" s="88">
        <v>149500</v>
      </c>
    </row>
    <row r="3259" spans="1:8" ht="18" customHeight="1" x14ac:dyDescent="0.15">
      <c r="A3259" s="250"/>
      <c r="B3259" s="23" t="s">
        <v>1301</v>
      </c>
      <c r="C3259" s="22">
        <v>0</v>
      </c>
      <c r="D3259" s="86">
        <v>0</v>
      </c>
      <c r="E3259" s="86">
        <v>0</v>
      </c>
      <c r="F3259" s="87">
        <v>0</v>
      </c>
      <c r="G3259" s="87">
        <v>0</v>
      </c>
      <c r="H3259" s="88">
        <v>0</v>
      </c>
    </row>
    <row r="3260" spans="1:8" ht="18" customHeight="1" x14ac:dyDescent="0.15">
      <c r="A3260" s="250"/>
      <c r="B3260" s="23" t="s">
        <v>1302</v>
      </c>
      <c r="C3260" s="22">
        <v>3</v>
      </c>
      <c r="D3260" s="86">
        <v>10800</v>
      </c>
      <c r="E3260" s="86">
        <v>0</v>
      </c>
      <c r="F3260" s="87">
        <v>0</v>
      </c>
      <c r="G3260" s="87">
        <v>10800</v>
      </c>
      <c r="H3260" s="88">
        <v>0</v>
      </c>
    </row>
    <row r="3261" spans="1:8" ht="18" customHeight="1" x14ac:dyDescent="0.15">
      <c r="A3261" s="250"/>
      <c r="B3261" s="23" t="s">
        <v>1303</v>
      </c>
      <c r="C3261" s="22">
        <v>1</v>
      </c>
      <c r="D3261" s="86">
        <v>3000</v>
      </c>
      <c r="E3261" s="86">
        <v>100</v>
      </c>
      <c r="F3261" s="87">
        <v>500</v>
      </c>
      <c r="G3261" s="87">
        <v>1600</v>
      </c>
      <c r="H3261" s="88">
        <v>800</v>
      </c>
    </row>
    <row r="3262" spans="1:8" ht="18" customHeight="1" x14ac:dyDescent="0.15">
      <c r="A3262" s="251"/>
      <c r="B3262" s="23" t="s">
        <v>1304</v>
      </c>
      <c r="C3262" s="22">
        <v>13</v>
      </c>
      <c r="D3262" s="86">
        <v>9651</v>
      </c>
      <c r="E3262" s="86">
        <v>466</v>
      </c>
      <c r="F3262" s="87">
        <v>8000</v>
      </c>
      <c r="G3262" s="87">
        <v>1185</v>
      </c>
      <c r="H3262" s="88">
        <v>0</v>
      </c>
    </row>
    <row r="3263" spans="1:8" ht="18" customHeight="1" x14ac:dyDescent="0.15">
      <c r="A3263" s="18" t="s">
        <v>1305</v>
      </c>
      <c r="B3263" s="17" t="s">
        <v>1306</v>
      </c>
      <c r="C3263" s="16">
        <v>3441</v>
      </c>
      <c r="D3263" s="80">
        <v>16833299</v>
      </c>
      <c r="E3263" s="80">
        <v>817000</v>
      </c>
      <c r="F3263" s="81">
        <v>7374155</v>
      </c>
      <c r="G3263" s="81">
        <v>6242176</v>
      </c>
      <c r="H3263" s="82">
        <v>2399968</v>
      </c>
    </row>
    <row r="3264" spans="1:8" ht="13.5" x14ac:dyDescent="0.15">
      <c r="A3264" s="252" t="s">
        <v>1307</v>
      </c>
      <c r="B3264" s="12" t="s">
        <v>1308</v>
      </c>
      <c r="C3264" s="11">
        <v>5973</v>
      </c>
      <c r="D3264" s="89">
        <v>80610361</v>
      </c>
      <c r="E3264" s="89">
        <v>49737425</v>
      </c>
      <c r="F3264" s="90">
        <v>12951457</v>
      </c>
      <c r="G3264" s="90">
        <v>11183662</v>
      </c>
      <c r="H3264" s="91">
        <v>6737816</v>
      </c>
    </row>
    <row r="3265" spans="1:8" ht="18" customHeight="1" thickBot="1" x14ac:dyDescent="0.2">
      <c r="A3265" s="253"/>
      <c r="B3265" s="7" t="s">
        <v>1309</v>
      </c>
      <c r="C3265" s="6">
        <v>5487</v>
      </c>
      <c r="D3265" s="92" t="s">
        <v>1310</v>
      </c>
      <c r="E3265" s="92" t="s">
        <v>54</v>
      </c>
      <c r="F3265" s="92" t="s">
        <v>54</v>
      </c>
      <c r="G3265" s="92" t="s">
        <v>54</v>
      </c>
      <c r="H3265" s="93" t="s">
        <v>54</v>
      </c>
    </row>
    <row r="3266" spans="1:8" ht="18" customHeight="1" x14ac:dyDescent="0.15">
      <c r="A3266" s="3" t="s">
        <v>1311</v>
      </c>
      <c r="B3266" s="2"/>
      <c r="C3266" s="2"/>
      <c r="D3266" s="2"/>
      <c r="E3266" s="2"/>
      <c r="F3266" s="2"/>
      <c r="G3266" s="2"/>
      <c r="H3266" s="2"/>
    </row>
    <row r="3267" spans="1:8" ht="18" customHeight="1" x14ac:dyDescent="0.15">
      <c r="A3267" s="3" t="s">
        <v>2587</v>
      </c>
      <c r="B3267" s="2"/>
      <c r="C3267" s="2"/>
      <c r="D3267" s="2"/>
      <c r="E3267" s="2"/>
      <c r="F3267" s="2"/>
      <c r="G3267" s="2"/>
      <c r="H3267" s="2"/>
    </row>
    <row r="3268" spans="1:8" ht="18" customHeight="1" x14ac:dyDescent="0.15">
      <c r="A3268" s="3" t="s">
        <v>1312</v>
      </c>
      <c r="B3268" s="2"/>
      <c r="C3268" s="2"/>
      <c r="D3268" s="2"/>
      <c r="E3268" s="2"/>
      <c r="F3268" s="2"/>
      <c r="G3268" s="2"/>
      <c r="H3268" s="2"/>
    </row>
    <row r="3269" spans="1:8" ht="18" customHeight="1" x14ac:dyDescent="0.15">
      <c r="A3269" s="3" t="s">
        <v>1313</v>
      </c>
      <c r="B3269" s="2"/>
      <c r="C3269" s="2"/>
      <c r="D3269" s="2"/>
      <c r="E3269" s="2"/>
      <c r="F3269" s="2"/>
      <c r="G3269" s="2"/>
      <c r="H3269" s="2"/>
    </row>
    <row r="3270" spans="1:8" ht="24" x14ac:dyDescent="0.15">
      <c r="A3270" s="230" t="s">
        <v>1210</v>
      </c>
      <c r="B3270" s="230"/>
      <c r="C3270" s="230"/>
      <c r="D3270" s="230"/>
      <c r="E3270" s="230"/>
      <c r="F3270" s="230"/>
      <c r="G3270" s="230"/>
      <c r="H3270" s="230"/>
    </row>
    <row r="3271" spans="1:8" ht="18" customHeight="1" x14ac:dyDescent="0.15">
      <c r="A3271" s="231"/>
      <c r="B3271" s="231"/>
      <c r="C3271" s="231"/>
      <c r="D3271" s="231"/>
      <c r="E3271" s="231"/>
      <c r="F3271" s="231"/>
      <c r="G3271" s="231"/>
      <c r="H3271" s="231"/>
    </row>
    <row r="3272" spans="1:8" ht="18" customHeight="1" thickBot="1" x14ac:dyDescent="0.2">
      <c r="A3272" s="58" t="s">
        <v>1211</v>
      </c>
    </row>
    <row r="3273" spans="1:8" ht="18" customHeight="1" x14ac:dyDescent="0.15">
      <c r="A3273" s="232" t="s">
        <v>1212</v>
      </c>
      <c r="B3273" s="235" t="s">
        <v>1213</v>
      </c>
      <c r="C3273" s="238" t="s">
        <v>1214</v>
      </c>
      <c r="D3273" s="241" t="s">
        <v>1215</v>
      </c>
      <c r="E3273" s="57"/>
      <c r="F3273" s="56"/>
      <c r="G3273" s="56"/>
      <c r="H3273" s="55"/>
    </row>
    <row r="3274" spans="1:8" ht="18" customHeight="1" x14ac:dyDescent="0.15">
      <c r="A3274" s="233"/>
      <c r="B3274" s="236"/>
      <c r="C3274" s="239"/>
      <c r="D3274" s="242"/>
      <c r="E3274" s="244" t="s">
        <v>1216</v>
      </c>
      <c r="F3274" s="246" t="s">
        <v>1217</v>
      </c>
      <c r="G3274" s="246" t="s">
        <v>1218</v>
      </c>
      <c r="H3274" s="248" t="s">
        <v>1219</v>
      </c>
    </row>
    <row r="3275" spans="1:8" ht="18" customHeight="1" thickBot="1" x14ac:dyDescent="0.2">
      <c r="A3275" s="234"/>
      <c r="B3275" s="237"/>
      <c r="C3275" s="240"/>
      <c r="D3275" s="243"/>
      <c r="E3275" s="245"/>
      <c r="F3275" s="247"/>
      <c r="G3275" s="247"/>
      <c r="H3275" s="249"/>
    </row>
    <row r="3276" spans="1:8" ht="15" thickTop="1" x14ac:dyDescent="0.15">
      <c r="A3276" s="54"/>
      <c r="B3276" s="53"/>
      <c r="C3276" s="52"/>
      <c r="D3276" s="51" t="s">
        <v>1220</v>
      </c>
      <c r="E3276" s="50" t="s">
        <v>1220</v>
      </c>
      <c r="F3276" s="49" t="s">
        <v>1220</v>
      </c>
      <c r="G3276" s="49" t="s">
        <v>1220</v>
      </c>
      <c r="H3276" s="48" t="s">
        <v>1220</v>
      </c>
    </row>
    <row r="3277" spans="1:8" ht="13.5" x14ac:dyDescent="0.15">
      <c r="A3277" s="250" t="s">
        <v>1221</v>
      </c>
      <c r="B3277" s="61" t="s">
        <v>1222</v>
      </c>
      <c r="C3277" s="62">
        <v>3698</v>
      </c>
      <c r="D3277" s="63">
        <v>700615608</v>
      </c>
      <c r="E3277" s="63">
        <v>256860631</v>
      </c>
      <c r="F3277" s="64">
        <v>222371763</v>
      </c>
      <c r="G3277" s="64">
        <v>215658290</v>
      </c>
      <c r="H3277" s="65">
        <v>5724922</v>
      </c>
    </row>
    <row r="3278" spans="1:8" ht="18" customHeight="1" x14ac:dyDescent="0.15">
      <c r="A3278" s="250"/>
      <c r="B3278" s="66" t="s">
        <v>1223</v>
      </c>
      <c r="C3278" s="67">
        <v>34</v>
      </c>
      <c r="D3278" s="68">
        <v>321149</v>
      </c>
      <c r="E3278" s="68">
        <v>96552</v>
      </c>
      <c r="F3278" s="69">
        <v>192204</v>
      </c>
      <c r="G3278" s="69">
        <v>32392</v>
      </c>
      <c r="H3278" s="70">
        <v>0</v>
      </c>
    </row>
    <row r="3279" spans="1:8" ht="13.5" x14ac:dyDescent="0.15">
      <c r="A3279" s="250"/>
      <c r="B3279" s="66" t="s">
        <v>1224</v>
      </c>
      <c r="C3279" s="67">
        <v>52</v>
      </c>
      <c r="D3279" s="68">
        <v>0</v>
      </c>
      <c r="E3279" s="68">
        <v>0</v>
      </c>
      <c r="F3279" s="69">
        <v>0</v>
      </c>
      <c r="G3279" s="69">
        <v>0</v>
      </c>
      <c r="H3279" s="70">
        <v>0</v>
      </c>
    </row>
    <row r="3280" spans="1:8" ht="24" customHeight="1" x14ac:dyDescent="0.15">
      <c r="A3280" s="250"/>
      <c r="B3280" s="71" t="s">
        <v>1225</v>
      </c>
      <c r="C3280" s="72">
        <v>1</v>
      </c>
      <c r="D3280" s="73">
        <v>164874</v>
      </c>
      <c r="E3280" s="73">
        <v>124478</v>
      </c>
      <c r="F3280" s="74">
        <v>8617</v>
      </c>
      <c r="G3280" s="74">
        <v>30113</v>
      </c>
      <c r="H3280" s="75">
        <v>1665</v>
      </c>
    </row>
    <row r="3281" spans="1:8" ht="18" customHeight="1" x14ac:dyDescent="0.15">
      <c r="A3281" s="250"/>
      <c r="B3281" s="66" t="s">
        <v>1226</v>
      </c>
      <c r="C3281" s="67">
        <v>63</v>
      </c>
      <c r="D3281" s="68">
        <v>11546668</v>
      </c>
      <c r="E3281" s="68">
        <v>3229302</v>
      </c>
      <c r="F3281" s="69">
        <v>2901958</v>
      </c>
      <c r="G3281" s="69">
        <v>5358960</v>
      </c>
      <c r="H3281" s="70">
        <v>56446</v>
      </c>
    </row>
    <row r="3282" spans="1:8" ht="13.5" x14ac:dyDescent="0.15">
      <c r="A3282" s="250"/>
      <c r="B3282" s="76" t="s">
        <v>1227</v>
      </c>
      <c r="C3282" s="67">
        <v>173</v>
      </c>
      <c r="D3282" s="68">
        <v>30007176</v>
      </c>
      <c r="E3282" s="68">
        <v>3399767</v>
      </c>
      <c r="F3282" s="69">
        <v>1397892</v>
      </c>
      <c r="G3282" s="69">
        <v>25148050</v>
      </c>
      <c r="H3282" s="70">
        <v>61466</v>
      </c>
    </row>
    <row r="3283" spans="1:8" ht="18" customHeight="1" x14ac:dyDescent="0.15">
      <c r="A3283" s="251"/>
      <c r="B3283" s="77" t="s">
        <v>1228</v>
      </c>
      <c r="C3283" s="72">
        <v>51</v>
      </c>
      <c r="D3283" s="73">
        <v>319009</v>
      </c>
      <c r="E3283" s="73">
        <v>290860</v>
      </c>
      <c r="F3283" s="74">
        <v>7909</v>
      </c>
      <c r="G3283" s="74">
        <v>19081</v>
      </c>
      <c r="H3283" s="75">
        <v>1158</v>
      </c>
    </row>
    <row r="3284" spans="1:8" ht="18" customHeight="1" x14ac:dyDescent="0.15">
      <c r="A3284" s="30" t="s">
        <v>1229</v>
      </c>
      <c r="B3284" s="78" t="s">
        <v>1230</v>
      </c>
      <c r="C3284" s="79">
        <v>31</v>
      </c>
      <c r="D3284" s="80">
        <v>109684</v>
      </c>
      <c r="E3284" s="80">
        <v>107189</v>
      </c>
      <c r="F3284" s="81">
        <v>1797</v>
      </c>
      <c r="G3284" s="81">
        <v>378</v>
      </c>
      <c r="H3284" s="82">
        <v>318</v>
      </c>
    </row>
    <row r="3285" spans="1:8" ht="13.5" x14ac:dyDescent="0.15">
      <c r="A3285" s="252" t="s">
        <v>1231</v>
      </c>
      <c r="B3285" s="17" t="s">
        <v>1232</v>
      </c>
      <c r="C3285" s="16">
        <v>3122</v>
      </c>
      <c r="D3285" s="83">
        <v>60737496</v>
      </c>
      <c r="E3285" s="83">
        <v>9407114</v>
      </c>
      <c r="F3285" s="84">
        <v>9388603</v>
      </c>
      <c r="G3285" s="84">
        <v>34150923</v>
      </c>
      <c r="H3285" s="85">
        <v>7790854</v>
      </c>
    </row>
    <row r="3286" spans="1:8" ht="18" customHeight="1" x14ac:dyDescent="0.15">
      <c r="A3286" s="250"/>
      <c r="B3286" s="23" t="s">
        <v>1233</v>
      </c>
      <c r="C3286" s="22">
        <v>3019</v>
      </c>
      <c r="D3286" s="86">
        <v>14368631</v>
      </c>
      <c r="E3286" s="86">
        <v>620862</v>
      </c>
      <c r="F3286" s="87">
        <v>3509395</v>
      </c>
      <c r="G3286" s="87">
        <v>8372354</v>
      </c>
      <c r="H3286" s="88">
        <v>1866020</v>
      </c>
    </row>
    <row r="3287" spans="1:8" ht="18" customHeight="1" x14ac:dyDescent="0.15">
      <c r="A3287" s="250"/>
      <c r="B3287" s="24" t="s">
        <v>1234</v>
      </c>
      <c r="C3287" s="22">
        <v>620</v>
      </c>
      <c r="D3287" s="86">
        <v>32811410</v>
      </c>
      <c r="E3287" s="86">
        <v>2267105</v>
      </c>
      <c r="F3287" s="87">
        <v>6900204</v>
      </c>
      <c r="G3287" s="87">
        <v>17024773</v>
      </c>
      <c r="H3287" s="88">
        <v>6619325</v>
      </c>
    </row>
    <row r="3288" spans="1:8" ht="13.5" x14ac:dyDescent="0.15">
      <c r="A3288" s="250"/>
      <c r="B3288" s="23" t="s">
        <v>1235</v>
      </c>
      <c r="C3288" s="22">
        <v>1614</v>
      </c>
      <c r="D3288" s="86">
        <v>47857200</v>
      </c>
      <c r="E3288" s="86">
        <v>4406865</v>
      </c>
      <c r="F3288" s="87">
        <v>8517878</v>
      </c>
      <c r="G3288" s="87">
        <v>30943091</v>
      </c>
      <c r="H3288" s="88">
        <v>3989365</v>
      </c>
    </row>
    <row r="3289" spans="1:8" ht="18" customHeight="1" x14ac:dyDescent="0.15">
      <c r="A3289" s="250"/>
      <c r="B3289" s="23" t="s">
        <v>1236</v>
      </c>
      <c r="C3289" s="22">
        <v>272</v>
      </c>
      <c r="D3289" s="86">
        <v>4249500</v>
      </c>
      <c r="E3289" s="86">
        <v>235346</v>
      </c>
      <c r="F3289" s="87">
        <v>111581</v>
      </c>
      <c r="G3289" s="87">
        <v>3848640</v>
      </c>
      <c r="H3289" s="88">
        <v>53932</v>
      </c>
    </row>
    <row r="3290" spans="1:8" ht="18" customHeight="1" x14ac:dyDescent="0.15">
      <c r="A3290" s="250"/>
      <c r="B3290" s="23" t="s">
        <v>1237</v>
      </c>
      <c r="C3290" s="22">
        <v>113</v>
      </c>
      <c r="D3290" s="86">
        <v>1081600</v>
      </c>
      <c r="E3290" s="86">
        <v>249200</v>
      </c>
      <c r="F3290" s="87">
        <v>69700</v>
      </c>
      <c r="G3290" s="87">
        <v>496170</v>
      </c>
      <c r="H3290" s="88">
        <v>266530</v>
      </c>
    </row>
    <row r="3291" spans="1:8" ht="13.5" x14ac:dyDescent="0.15">
      <c r="A3291" s="250"/>
      <c r="B3291" s="23" t="s">
        <v>1238</v>
      </c>
      <c r="C3291" s="22">
        <v>30</v>
      </c>
      <c r="D3291" s="86">
        <v>253821</v>
      </c>
      <c r="E3291" s="86">
        <v>120715</v>
      </c>
      <c r="F3291" s="87">
        <v>16490</v>
      </c>
      <c r="G3291" s="87">
        <v>68533</v>
      </c>
      <c r="H3291" s="88">
        <v>48083</v>
      </c>
    </row>
    <row r="3292" spans="1:8" ht="18" customHeight="1" x14ac:dyDescent="0.15">
      <c r="A3292" s="250"/>
      <c r="B3292" s="23" t="s">
        <v>1239</v>
      </c>
      <c r="C3292" s="22">
        <v>0</v>
      </c>
      <c r="D3292" s="86">
        <v>0</v>
      </c>
      <c r="E3292" s="86">
        <v>0</v>
      </c>
      <c r="F3292" s="87">
        <v>0</v>
      </c>
      <c r="G3292" s="87">
        <v>0</v>
      </c>
      <c r="H3292" s="88">
        <v>0</v>
      </c>
    </row>
    <row r="3293" spans="1:8" ht="18" customHeight="1" x14ac:dyDescent="0.15">
      <c r="A3293" s="250"/>
      <c r="B3293" s="23" t="s">
        <v>1240</v>
      </c>
      <c r="C3293" s="22">
        <v>245</v>
      </c>
      <c r="D3293" s="86">
        <v>9423110</v>
      </c>
      <c r="E3293" s="86">
        <v>884020</v>
      </c>
      <c r="F3293" s="87">
        <v>2839620</v>
      </c>
      <c r="G3293" s="87">
        <v>3520050</v>
      </c>
      <c r="H3293" s="88">
        <v>2179420</v>
      </c>
    </row>
    <row r="3294" spans="1:8" ht="13.5" x14ac:dyDescent="0.15">
      <c r="A3294" s="250"/>
      <c r="B3294" s="23" t="s">
        <v>1241</v>
      </c>
      <c r="C3294" s="22">
        <v>3078</v>
      </c>
      <c r="D3294" s="86">
        <v>62577045</v>
      </c>
      <c r="E3294" s="86">
        <v>13646952</v>
      </c>
      <c r="F3294" s="87">
        <v>9729352</v>
      </c>
      <c r="G3294" s="87">
        <v>32580004</v>
      </c>
      <c r="H3294" s="88">
        <v>6620735</v>
      </c>
    </row>
    <row r="3295" spans="1:8" ht="18" customHeight="1" x14ac:dyDescent="0.15">
      <c r="A3295" s="250"/>
      <c r="B3295" s="23" t="s">
        <v>1242</v>
      </c>
      <c r="C3295" s="22">
        <v>608</v>
      </c>
      <c r="D3295" s="86">
        <v>15517910</v>
      </c>
      <c r="E3295" s="86">
        <v>2175287</v>
      </c>
      <c r="F3295" s="87">
        <v>3028446</v>
      </c>
      <c r="G3295" s="87">
        <v>8964746</v>
      </c>
      <c r="H3295" s="88">
        <v>1349429</v>
      </c>
    </row>
    <row r="3296" spans="1:8" ht="18" customHeight="1" x14ac:dyDescent="0.15">
      <c r="A3296" s="250"/>
      <c r="B3296" s="23" t="s">
        <v>1243</v>
      </c>
      <c r="C3296" s="22">
        <v>47718</v>
      </c>
      <c r="D3296" s="86">
        <v>12976240</v>
      </c>
      <c r="E3296" s="86">
        <v>815936</v>
      </c>
      <c r="F3296" s="87">
        <v>5759637</v>
      </c>
      <c r="G3296" s="87">
        <v>6028046</v>
      </c>
      <c r="H3296" s="88">
        <v>372620</v>
      </c>
    </row>
    <row r="3297" spans="1:8" ht="18" customHeight="1" x14ac:dyDescent="0.15">
      <c r="A3297" s="250"/>
      <c r="B3297" s="23" t="s">
        <v>1244</v>
      </c>
      <c r="C3297" s="22">
        <v>673</v>
      </c>
      <c r="D3297" s="86">
        <v>1754619</v>
      </c>
      <c r="E3297" s="86">
        <v>32761</v>
      </c>
      <c r="F3297" s="87">
        <v>1208121</v>
      </c>
      <c r="G3297" s="87">
        <v>513736</v>
      </c>
      <c r="H3297" s="88">
        <v>0</v>
      </c>
    </row>
    <row r="3298" spans="1:8" ht="18" customHeight="1" x14ac:dyDescent="0.15">
      <c r="A3298" s="250"/>
      <c r="B3298" s="23" t="s">
        <v>1245</v>
      </c>
      <c r="C3298" s="22">
        <v>51</v>
      </c>
      <c r="D3298" s="86">
        <v>506600</v>
      </c>
      <c r="E3298" s="86">
        <v>123190</v>
      </c>
      <c r="F3298" s="87">
        <v>70000</v>
      </c>
      <c r="G3298" s="87">
        <v>264009</v>
      </c>
      <c r="H3298" s="88">
        <v>49401</v>
      </c>
    </row>
    <row r="3299" spans="1:8" ht="18" customHeight="1" x14ac:dyDescent="0.15">
      <c r="A3299" s="250"/>
      <c r="B3299" s="23" t="s">
        <v>1246</v>
      </c>
      <c r="C3299" s="22">
        <v>439</v>
      </c>
      <c r="D3299" s="86">
        <v>2268281</v>
      </c>
      <c r="E3299" s="86">
        <v>213525</v>
      </c>
      <c r="F3299" s="87">
        <v>1167178</v>
      </c>
      <c r="G3299" s="87">
        <v>831978</v>
      </c>
      <c r="H3299" s="88">
        <v>55600</v>
      </c>
    </row>
    <row r="3300" spans="1:8" ht="18" customHeight="1" x14ac:dyDescent="0.15">
      <c r="A3300" s="250"/>
      <c r="B3300" s="23" t="s">
        <v>1247</v>
      </c>
      <c r="C3300" s="22">
        <v>281</v>
      </c>
      <c r="D3300" s="86">
        <v>7489200</v>
      </c>
      <c r="E3300" s="86">
        <v>686370</v>
      </c>
      <c r="F3300" s="87">
        <v>1340700</v>
      </c>
      <c r="G3300" s="87">
        <v>4957300</v>
      </c>
      <c r="H3300" s="88">
        <v>504830</v>
      </c>
    </row>
    <row r="3301" spans="1:8" ht="18" customHeight="1" x14ac:dyDescent="0.15">
      <c r="A3301" s="250"/>
      <c r="B3301" s="23" t="s">
        <v>1248</v>
      </c>
      <c r="C3301" s="22">
        <v>39</v>
      </c>
      <c r="D3301" s="86">
        <v>1823600</v>
      </c>
      <c r="E3301" s="86">
        <v>149600</v>
      </c>
      <c r="F3301" s="87">
        <v>608300</v>
      </c>
      <c r="G3301" s="87">
        <v>916300</v>
      </c>
      <c r="H3301" s="88">
        <v>149400</v>
      </c>
    </row>
    <row r="3302" spans="1:8" ht="18" customHeight="1" x14ac:dyDescent="0.15">
      <c r="A3302" s="250"/>
      <c r="B3302" s="23" t="s">
        <v>1249</v>
      </c>
      <c r="C3302" s="22">
        <v>0</v>
      </c>
      <c r="D3302" s="86">
        <v>0</v>
      </c>
      <c r="E3302" s="86">
        <v>0</v>
      </c>
      <c r="F3302" s="87">
        <v>0</v>
      </c>
      <c r="G3302" s="87">
        <v>0</v>
      </c>
      <c r="H3302" s="88">
        <v>0</v>
      </c>
    </row>
    <row r="3303" spans="1:8" ht="18" customHeight="1" x14ac:dyDescent="0.15">
      <c r="A3303" s="250"/>
      <c r="B3303" s="23" t="s">
        <v>1250</v>
      </c>
      <c r="C3303" s="22">
        <v>3</v>
      </c>
      <c r="D3303" s="86">
        <v>10800</v>
      </c>
      <c r="E3303" s="86">
        <v>0</v>
      </c>
      <c r="F3303" s="87">
        <v>0</v>
      </c>
      <c r="G3303" s="87">
        <v>10800</v>
      </c>
      <c r="H3303" s="88">
        <v>0</v>
      </c>
    </row>
    <row r="3304" spans="1:8" ht="13.5" x14ac:dyDescent="0.15">
      <c r="A3304" s="250"/>
      <c r="B3304" s="23" t="s">
        <v>1251</v>
      </c>
      <c r="C3304" s="22">
        <v>1</v>
      </c>
      <c r="D3304" s="86">
        <v>3000</v>
      </c>
      <c r="E3304" s="86">
        <v>100</v>
      </c>
      <c r="F3304" s="87">
        <v>500</v>
      </c>
      <c r="G3304" s="87">
        <v>1600</v>
      </c>
      <c r="H3304" s="88">
        <v>800</v>
      </c>
    </row>
    <row r="3305" spans="1:8" ht="18" customHeight="1" x14ac:dyDescent="0.15">
      <c r="A3305" s="251"/>
      <c r="B3305" s="23" t="s">
        <v>1252</v>
      </c>
      <c r="C3305" s="22">
        <v>13</v>
      </c>
      <c r="D3305" s="86">
        <v>9651</v>
      </c>
      <c r="E3305" s="86">
        <v>466</v>
      </c>
      <c r="F3305" s="87">
        <v>8000</v>
      </c>
      <c r="G3305" s="87">
        <v>1185</v>
      </c>
      <c r="H3305" s="88">
        <v>0</v>
      </c>
    </row>
    <row r="3306" spans="1:8" ht="18" customHeight="1" x14ac:dyDescent="0.15">
      <c r="A3306" s="18" t="s">
        <v>1253</v>
      </c>
      <c r="B3306" s="17" t="s">
        <v>1254</v>
      </c>
      <c r="C3306" s="16">
        <v>3307</v>
      </c>
      <c r="D3306" s="80">
        <v>16560259</v>
      </c>
      <c r="E3306" s="80">
        <v>846800</v>
      </c>
      <c r="F3306" s="81">
        <v>7103461</v>
      </c>
      <c r="G3306" s="81">
        <v>5735998</v>
      </c>
      <c r="H3306" s="82">
        <v>2874000</v>
      </c>
    </row>
    <row r="3307" spans="1:8" ht="18" customHeight="1" x14ac:dyDescent="0.15">
      <c r="A3307" s="252" t="s">
        <v>1255</v>
      </c>
      <c r="B3307" s="12" t="s">
        <v>1256</v>
      </c>
      <c r="C3307" s="11">
        <v>5983</v>
      </c>
      <c r="D3307" s="89">
        <v>79198724</v>
      </c>
      <c r="E3307" s="89">
        <v>48775070</v>
      </c>
      <c r="F3307" s="90">
        <v>12782235</v>
      </c>
      <c r="G3307" s="90">
        <v>11033537</v>
      </c>
      <c r="H3307" s="91">
        <v>6607881</v>
      </c>
    </row>
    <row r="3308" spans="1:8" ht="18" customHeight="1" thickBot="1" x14ac:dyDescent="0.2">
      <c r="A3308" s="253"/>
      <c r="B3308" s="7" t="s">
        <v>1257</v>
      </c>
      <c r="C3308" s="6">
        <v>5440</v>
      </c>
      <c r="D3308" s="92" t="s">
        <v>1258</v>
      </c>
      <c r="E3308" s="92" t="s">
        <v>54</v>
      </c>
      <c r="F3308" s="92" t="s">
        <v>54</v>
      </c>
      <c r="G3308" s="92" t="s">
        <v>54</v>
      </c>
      <c r="H3308" s="93" t="s">
        <v>54</v>
      </c>
    </row>
    <row r="3309" spans="1:8" ht="18" customHeight="1" x14ac:dyDescent="0.15">
      <c r="A3309" s="3" t="s">
        <v>1259</v>
      </c>
      <c r="B3309" s="2"/>
      <c r="C3309" s="2"/>
      <c r="D3309" s="2"/>
      <c r="E3309" s="2"/>
      <c r="F3309" s="2"/>
      <c r="G3309" s="2"/>
      <c r="H3309" s="2"/>
    </row>
    <row r="3310" spans="1:8" ht="12" x14ac:dyDescent="0.15">
      <c r="A3310" s="3" t="s">
        <v>2587</v>
      </c>
      <c r="B3310" s="2"/>
      <c r="C3310" s="2"/>
      <c r="D3310" s="2"/>
      <c r="E3310" s="2"/>
      <c r="F3310" s="2"/>
      <c r="G3310" s="2"/>
      <c r="H3310" s="2"/>
    </row>
    <row r="3311" spans="1:8" ht="18" customHeight="1" x14ac:dyDescent="0.15">
      <c r="A3311" s="3" t="s">
        <v>1260</v>
      </c>
      <c r="B3311" s="2"/>
      <c r="C3311" s="2"/>
      <c r="D3311" s="2"/>
      <c r="E3311" s="2"/>
      <c r="F3311" s="2"/>
      <c r="G3311" s="2"/>
      <c r="H3311" s="2"/>
    </row>
    <row r="3312" spans="1:8" ht="18" customHeight="1" x14ac:dyDescent="0.15">
      <c r="A3312" s="3" t="s">
        <v>1261</v>
      </c>
      <c r="B3312" s="2"/>
      <c r="C3312" s="2"/>
      <c r="D3312" s="2"/>
      <c r="E3312" s="2"/>
      <c r="F3312" s="2"/>
      <c r="G3312" s="2"/>
      <c r="H3312" s="2"/>
    </row>
    <row r="3313" spans="1:8" ht="18" customHeight="1" x14ac:dyDescent="0.15">
      <c r="A3313" s="230" t="s">
        <v>1158</v>
      </c>
      <c r="B3313" s="230"/>
      <c r="C3313" s="230"/>
      <c r="D3313" s="230"/>
      <c r="E3313" s="230"/>
      <c r="F3313" s="230"/>
      <c r="G3313" s="230"/>
      <c r="H3313" s="230"/>
    </row>
    <row r="3314" spans="1:8" ht="18" customHeight="1" x14ac:dyDescent="0.15">
      <c r="A3314" s="231"/>
      <c r="B3314" s="231"/>
      <c r="C3314" s="231"/>
      <c r="D3314" s="231"/>
      <c r="E3314" s="231"/>
      <c r="F3314" s="231"/>
      <c r="G3314" s="231"/>
      <c r="H3314" s="231"/>
    </row>
    <row r="3315" spans="1:8" ht="18" customHeight="1" thickBot="1" x14ac:dyDescent="0.2">
      <c r="A3315" s="58" t="s">
        <v>1159</v>
      </c>
    </row>
    <row r="3316" spans="1:8" ht="14.25" x14ac:dyDescent="0.15">
      <c r="A3316" s="232" t="s">
        <v>1160</v>
      </c>
      <c r="B3316" s="235" t="s">
        <v>1161</v>
      </c>
      <c r="C3316" s="238" t="s">
        <v>1162</v>
      </c>
      <c r="D3316" s="241" t="s">
        <v>1163</v>
      </c>
      <c r="E3316" s="57"/>
      <c r="F3316" s="56"/>
      <c r="G3316" s="56"/>
      <c r="H3316" s="55"/>
    </row>
    <row r="3317" spans="1:8" ht="12" x14ac:dyDescent="0.15">
      <c r="A3317" s="233"/>
      <c r="B3317" s="236"/>
      <c r="C3317" s="239"/>
      <c r="D3317" s="242"/>
      <c r="E3317" s="244" t="s">
        <v>1164</v>
      </c>
      <c r="F3317" s="246" t="s">
        <v>1165</v>
      </c>
      <c r="G3317" s="246" t="s">
        <v>1166</v>
      </c>
      <c r="H3317" s="248" t="s">
        <v>1167</v>
      </c>
    </row>
    <row r="3318" spans="1:8" ht="18" customHeight="1" thickBot="1" x14ac:dyDescent="0.2">
      <c r="A3318" s="234"/>
      <c r="B3318" s="237"/>
      <c r="C3318" s="240"/>
      <c r="D3318" s="243"/>
      <c r="E3318" s="245"/>
      <c r="F3318" s="247"/>
      <c r="G3318" s="247"/>
      <c r="H3318" s="249"/>
    </row>
    <row r="3319" spans="1:8" ht="15" thickTop="1" x14ac:dyDescent="0.15">
      <c r="A3319" s="54"/>
      <c r="B3319" s="53"/>
      <c r="C3319" s="52"/>
      <c r="D3319" s="51" t="s">
        <v>1168</v>
      </c>
      <c r="E3319" s="50" t="s">
        <v>1168</v>
      </c>
      <c r="F3319" s="49" t="s">
        <v>1168</v>
      </c>
      <c r="G3319" s="49" t="s">
        <v>1168</v>
      </c>
      <c r="H3319" s="48" t="s">
        <v>1168</v>
      </c>
    </row>
    <row r="3320" spans="1:8" ht="24" customHeight="1" x14ac:dyDescent="0.15">
      <c r="A3320" s="250" t="s">
        <v>1169</v>
      </c>
      <c r="B3320" s="61" t="s">
        <v>1170</v>
      </c>
      <c r="C3320" s="62">
        <v>3689</v>
      </c>
      <c r="D3320" s="63">
        <v>688409555</v>
      </c>
      <c r="E3320" s="63">
        <v>252910949</v>
      </c>
      <c r="F3320" s="64">
        <v>218253597</v>
      </c>
      <c r="G3320" s="64">
        <v>211635131</v>
      </c>
      <c r="H3320" s="65">
        <v>5609875</v>
      </c>
    </row>
    <row r="3321" spans="1:8" ht="18" customHeight="1" x14ac:dyDescent="0.15">
      <c r="A3321" s="250"/>
      <c r="B3321" s="66" t="s">
        <v>1171</v>
      </c>
      <c r="C3321" s="67">
        <v>34</v>
      </c>
      <c r="D3321" s="68">
        <v>315675</v>
      </c>
      <c r="E3321" s="68">
        <v>99403</v>
      </c>
      <c r="F3321" s="69">
        <v>185631</v>
      </c>
      <c r="G3321" s="69">
        <v>30640</v>
      </c>
      <c r="H3321" s="70">
        <v>0</v>
      </c>
    </row>
    <row r="3322" spans="1:8" ht="13.5" x14ac:dyDescent="0.15">
      <c r="A3322" s="250"/>
      <c r="B3322" s="66" t="s">
        <v>1172</v>
      </c>
      <c r="C3322" s="67">
        <v>54</v>
      </c>
      <c r="D3322" s="68">
        <v>0</v>
      </c>
      <c r="E3322" s="68">
        <v>0</v>
      </c>
      <c r="F3322" s="69">
        <v>0</v>
      </c>
      <c r="G3322" s="69">
        <v>0</v>
      </c>
      <c r="H3322" s="70">
        <v>0</v>
      </c>
    </row>
    <row r="3323" spans="1:8" ht="18" customHeight="1" x14ac:dyDescent="0.15">
      <c r="A3323" s="250"/>
      <c r="B3323" s="71" t="s">
        <v>1173</v>
      </c>
      <c r="C3323" s="72">
        <v>1</v>
      </c>
      <c r="D3323" s="73">
        <v>164803</v>
      </c>
      <c r="E3323" s="73">
        <v>124377</v>
      </c>
      <c r="F3323" s="74">
        <v>8666</v>
      </c>
      <c r="G3323" s="74">
        <v>30100</v>
      </c>
      <c r="H3323" s="75">
        <v>1658</v>
      </c>
    </row>
    <row r="3324" spans="1:8" ht="18" customHeight="1" x14ac:dyDescent="0.15">
      <c r="A3324" s="250"/>
      <c r="B3324" s="66" t="s">
        <v>1174</v>
      </c>
      <c r="C3324" s="67">
        <v>63</v>
      </c>
      <c r="D3324" s="68">
        <v>11220010</v>
      </c>
      <c r="E3324" s="68">
        <v>3141704</v>
      </c>
      <c r="F3324" s="69">
        <v>2832777</v>
      </c>
      <c r="G3324" s="69">
        <v>5203829</v>
      </c>
      <c r="H3324" s="70">
        <v>41699</v>
      </c>
    </row>
    <row r="3325" spans="1:8" ht="13.5" x14ac:dyDescent="0.15">
      <c r="A3325" s="250"/>
      <c r="B3325" s="76" t="s">
        <v>1175</v>
      </c>
      <c r="C3325" s="67">
        <v>172</v>
      </c>
      <c r="D3325" s="68">
        <v>28784692</v>
      </c>
      <c r="E3325" s="68">
        <v>3308341</v>
      </c>
      <c r="F3325" s="69">
        <v>1494746</v>
      </c>
      <c r="G3325" s="69">
        <v>23910613</v>
      </c>
      <c r="H3325" s="70">
        <v>70990</v>
      </c>
    </row>
    <row r="3326" spans="1:8" ht="18" customHeight="1" x14ac:dyDescent="0.15">
      <c r="A3326" s="251"/>
      <c r="B3326" s="77" t="s">
        <v>1176</v>
      </c>
      <c r="C3326" s="72">
        <v>51</v>
      </c>
      <c r="D3326" s="73">
        <v>331375</v>
      </c>
      <c r="E3326" s="73">
        <v>303919</v>
      </c>
      <c r="F3326" s="74">
        <v>8052</v>
      </c>
      <c r="G3326" s="74">
        <v>18401</v>
      </c>
      <c r="H3326" s="75">
        <v>1002</v>
      </c>
    </row>
    <row r="3327" spans="1:8" ht="18" customHeight="1" x14ac:dyDescent="0.15">
      <c r="A3327" s="30" t="s">
        <v>1177</v>
      </c>
      <c r="B3327" s="78" t="s">
        <v>1178</v>
      </c>
      <c r="C3327" s="79">
        <v>31</v>
      </c>
      <c r="D3327" s="80">
        <v>107014</v>
      </c>
      <c r="E3327" s="80">
        <v>105041</v>
      </c>
      <c r="F3327" s="81">
        <v>1799</v>
      </c>
      <c r="G3327" s="81">
        <v>0</v>
      </c>
      <c r="H3327" s="82">
        <v>173</v>
      </c>
    </row>
    <row r="3328" spans="1:8" ht="13.5" x14ac:dyDescent="0.15">
      <c r="A3328" s="252" t="s">
        <v>1179</v>
      </c>
      <c r="B3328" s="17" t="s">
        <v>1180</v>
      </c>
      <c r="C3328" s="16">
        <v>3114</v>
      </c>
      <c r="D3328" s="83">
        <v>60531016</v>
      </c>
      <c r="E3328" s="83">
        <v>9181526</v>
      </c>
      <c r="F3328" s="84">
        <v>9187790</v>
      </c>
      <c r="G3328" s="84">
        <v>34375807</v>
      </c>
      <c r="H3328" s="85">
        <v>7785892</v>
      </c>
    </row>
    <row r="3329" spans="1:8" ht="18" customHeight="1" x14ac:dyDescent="0.15">
      <c r="A3329" s="250"/>
      <c r="B3329" s="23" t="s">
        <v>1181</v>
      </c>
      <c r="C3329" s="22">
        <v>3009</v>
      </c>
      <c r="D3329" s="86">
        <v>14331112</v>
      </c>
      <c r="E3329" s="86">
        <v>593652</v>
      </c>
      <c r="F3329" s="87">
        <v>3470389</v>
      </c>
      <c r="G3329" s="87">
        <v>8392828</v>
      </c>
      <c r="H3329" s="88">
        <v>1874241</v>
      </c>
    </row>
    <row r="3330" spans="1:8" ht="18" customHeight="1" x14ac:dyDescent="0.15">
      <c r="A3330" s="250"/>
      <c r="B3330" s="24" t="s">
        <v>1182</v>
      </c>
      <c r="C3330" s="22">
        <v>618</v>
      </c>
      <c r="D3330" s="86">
        <v>32876410</v>
      </c>
      <c r="E3330" s="86">
        <v>2169326</v>
      </c>
      <c r="F3330" s="87">
        <v>6690550</v>
      </c>
      <c r="G3330" s="87">
        <v>17442004</v>
      </c>
      <c r="H3330" s="88">
        <v>6574528</v>
      </c>
    </row>
    <row r="3331" spans="1:8" ht="13.5" x14ac:dyDescent="0.15">
      <c r="A3331" s="250"/>
      <c r="B3331" s="23" t="s">
        <v>1183</v>
      </c>
      <c r="C3331" s="22">
        <v>1603</v>
      </c>
      <c r="D3331" s="86">
        <v>47527600</v>
      </c>
      <c r="E3331" s="86">
        <v>4413617</v>
      </c>
      <c r="F3331" s="87">
        <v>8397828</v>
      </c>
      <c r="G3331" s="87">
        <v>30766539</v>
      </c>
      <c r="H3331" s="88">
        <v>3949615</v>
      </c>
    </row>
    <row r="3332" spans="1:8" ht="18" customHeight="1" x14ac:dyDescent="0.15">
      <c r="A3332" s="250"/>
      <c r="B3332" s="23" t="s">
        <v>1184</v>
      </c>
      <c r="C3332" s="22">
        <v>266</v>
      </c>
      <c r="D3332" s="86">
        <v>4207000</v>
      </c>
      <c r="E3332" s="86">
        <v>231568</v>
      </c>
      <c r="F3332" s="87">
        <v>111581</v>
      </c>
      <c r="G3332" s="87">
        <v>3809917</v>
      </c>
      <c r="H3332" s="88">
        <v>53932</v>
      </c>
    </row>
    <row r="3333" spans="1:8" ht="18" customHeight="1" x14ac:dyDescent="0.15">
      <c r="A3333" s="250"/>
      <c r="B3333" s="23" t="s">
        <v>1185</v>
      </c>
      <c r="C3333" s="22">
        <v>113</v>
      </c>
      <c r="D3333" s="86">
        <v>1081600</v>
      </c>
      <c r="E3333" s="86">
        <v>246950</v>
      </c>
      <c r="F3333" s="87">
        <v>66400</v>
      </c>
      <c r="G3333" s="87">
        <v>501120</v>
      </c>
      <c r="H3333" s="88">
        <v>267130</v>
      </c>
    </row>
    <row r="3334" spans="1:8" ht="13.5" x14ac:dyDescent="0.15">
      <c r="A3334" s="250"/>
      <c r="B3334" s="23" t="s">
        <v>1186</v>
      </c>
      <c r="C3334" s="22">
        <v>30</v>
      </c>
      <c r="D3334" s="86">
        <v>253821</v>
      </c>
      <c r="E3334" s="86">
        <v>120715</v>
      </c>
      <c r="F3334" s="87">
        <v>16490</v>
      </c>
      <c r="G3334" s="87">
        <v>68533</v>
      </c>
      <c r="H3334" s="88">
        <v>48083</v>
      </c>
    </row>
    <row r="3335" spans="1:8" ht="18" customHeight="1" x14ac:dyDescent="0.15">
      <c r="A3335" s="250"/>
      <c r="B3335" s="23" t="s">
        <v>1187</v>
      </c>
      <c r="C3335" s="22">
        <v>0</v>
      </c>
      <c r="D3335" s="86">
        <v>0</v>
      </c>
      <c r="E3335" s="86">
        <v>0</v>
      </c>
      <c r="F3335" s="87">
        <v>0</v>
      </c>
      <c r="G3335" s="87">
        <v>0</v>
      </c>
      <c r="H3335" s="88">
        <v>0</v>
      </c>
    </row>
    <row r="3336" spans="1:8" ht="18" customHeight="1" x14ac:dyDescent="0.15">
      <c r="A3336" s="250"/>
      <c r="B3336" s="23" t="s">
        <v>1188</v>
      </c>
      <c r="C3336" s="22">
        <v>245</v>
      </c>
      <c r="D3336" s="86">
        <v>9537280</v>
      </c>
      <c r="E3336" s="86">
        <v>886730</v>
      </c>
      <c r="F3336" s="87">
        <v>2869280</v>
      </c>
      <c r="G3336" s="87">
        <v>3562260</v>
      </c>
      <c r="H3336" s="88">
        <v>2219010</v>
      </c>
    </row>
    <row r="3337" spans="1:8" ht="18" customHeight="1" x14ac:dyDescent="0.15">
      <c r="A3337" s="250"/>
      <c r="B3337" s="23" t="s">
        <v>1189</v>
      </c>
      <c r="C3337" s="22">
        <v>3090</v>
      </c>
      <c r="D3337" s="86">
        <v>62845893</v>
      </c>
      <c r="E3337" s="86">
        <v>13732028</v>
      </c>
      <c r="F3337" s="87">
        <v>9774550</v>
      </c>
      <c r="G3337" s="87">
        <v>32694987</v>
      </c>
      <c r="H3337" s="88">
        <v>6644325</v>
      </c>
    </row>
    <row r="3338" spans="1:8" ht="18" customHeight="1" x14ac:dyDescent="0.15">
      <c r="A3338" s="250"/>
      <c r="B3338" s="23" t="s">
        <v>1190</v>
      </c>
      <c r="C3338" s="22">
        <v>609</v>
      </c>
      <c r="D3338" s="86">
        <v>15635751</v>
      </c>
      <c r="E3338" s="86">
        <v>2173214</v>
      </c>
      <c r="F3338" s="87">
        <v>3051775</v>
      </c>
      <c r="G3338" s="87">
        <v>9057126</v>
      </c>
      <c r="H3338" s="88">
        <v>1353634</v>
      </c>
    </row>
    <row r="3339" spans="1:8" ht="18" customHeight="1" x14ac:dyDescent="0.15">
      <c r="A3339" s="250"/>
      <c r="B3339" s="23" t="s">
        <v>1191</v>
      </c>
      <c r="C3339" s="22">
        <v>47497</v>
      </c>
      <c r="D3339" s="86">
        <v>12868747</v>
      </c>
      <c r="E3339" s="86">
        <v>783836</v>
      </c>
      <c r="F3339" s="87">
        <v>5769386</v>
      </c>
      <c r="G3339" s="87">
        <v>5950784</v>
      </c>
      <c r="H3339" s="88">
        <v>364740</v>
      </c>
    </row>
    <row r="3340" spans="1:8" ht="18" customHeight="1" x14ac:dyDescent="0.15">
      <c r="A3340" s="250"/>
      <c r="B3340" s="23" t="s">
        <v>1192</v>
      </c>
      <c r="C3340" s="22">
        <v>673</v>
      </c>
      <c r="D3340" s="86">
        <v>1754624</v>
      </c>
      <c r="E3340" s="86">
        <v>32761</v>
      </c>
      <c r="F3340" s="87">
        <v>1208126</v>
      </c>
      <c r="G3340" s="87">
        <v>513736</v>
      </c>
      <c r="H3340" s="88">
        <v>0</v>
      </c>
    </row>
    <row r="3341" spans="1:8" ht="18" customHeight="1" x14ac:dyDescent="0.15">
      <c r="A3341" s="250"/>
      <c r="B3341" s="23" t="s">
        <v>1193</v>
      </c>
      <c r="C3341" s="22">
        <v>51</v>
      </c>
      <c r="D3341" s="86">
        <v>508600</v>
      </c>
      <c r="E3341" s="86">
        <v>122606</v>
      </c>
      <c r="F3341" s="87">
        <v>71100</v>
      </c>
      <c r="G3341" s="87">
        <v>265793</v>
      </c>
      <c r="H3341" s="88">
        <v>49101</v>
      </c>
    </row>
    <row r="3342" spans="1:8" ht="18" customHeight="1" x14ac:dyDescent="0.15">
      <c r="A3342" s="250"/>
      <c r="B3342" s="23" t="s">
        <v>1194</v>
      </c>
      <c r="C3342" s="22">
        <v>431</v>
      </c>
      <c r="D3342" s="86">
        <v>2220791</v>
      </c>
      <c r="E3342" s="86">
        <v>208945</v>
      </c>
      <c r="F3342" s="87">
        <v>1151793</v>
      </c>
      <c r="G3342" s="87">
        <v>804453</v>
      </c>
      <c r="H3342" s="88">
        <v>55600</v>
      </c>
    </row>
    <row r="3343" spans="1:8" ht="18" customHeight="1" x14ac:dyDescent="0.15">
      <c r="A3343" s="250"/>
      <c r="B3343" s="23" t="s">
        <v>1195</v>
      </c>
      <c r="C3343" s="22">
        <v>285</v>
      </c>
      <c r="D3343" s="86">
        <v>7712700</v>
      </c>
      <c r="E3343" s="86">
        <v>700570</v>
      </c>
      <c r="F3343" s="87">
        <v>1406600</v>
      </c>
      <c r="G3343" s="87">
        <v>5087500</v>
      </c>
      <c r="H3343" s="88">
        <v>518030</v>
      </c>
    </row>
    <row r="3344" spans="1:8" ht="13.5" x14ac:dyDescent="0.15">
      <c r="A3344" s="250"/>
      <c r="B3344" s="23" t="s">
        <v>1196</v>
      </c>
      <c r="C3344" s="22">
        <v>39</v>
      </c>
      <c r="D3344" s="86">
        <v>1823600</v>
      </c>
      <c r="E3344" s="86">
        <v>149600</v>
      </c>
      <c r="F3344" s="87">
        <v>608300</v>
      </c>
      <c r="G3344" s="87">
        <v>916300</v>
      </c>
      <c r="H3344" s="88">
        <v>149400</v>
      </c>
    </row>
    <row r="3345" spans="1:8" ht="18" customHeight="1" x14ac:dyDescent="0.15">
      <c r="A3345" s="250"/>
      <c r="B3345" s="23" t="s">
        <v>1197</v>
      </c>
      <c r="C3345" s="22">
        <v>0</v>
      </c>
      <c r="D3345" s="86">
        <v>0</v>
      </c>
      <c r="E3345" s="86">
        <v>0</v>
      </c>
      <c r="F3345" s="87">
        <v>0</v>
      </c>
      <c r="G3345" s="87">
        <v>0</v>
      </c>
      <c r="H3345" s="88">
        <v>0</v>
      </c>
    </row>
    <row r="3346" spans="1:8" ht="18" customHeight="1" x14ac:dyDescent="0.15">
      <c r="A3346" s="250"/>
      <c r="B3346" s="23" t="s">
        <v>1198</v>
      </c>
      <c r="C3346" s="22">
        <v>3</v>
      </c>
      <c r="D3346" s="86">
        <v>10800</v>
      </c>
      <c r="E3346" s="86">
        <v>0</v>
      </c>
      <c r="F3346" s="87">
        <v>0</v>
      </c>
      <c r="G3346" s="87">
        <v>10800</v>
      </c>
      <c r="H3346" s="88">
        <v>0</v>
      </c>
    </row>
    <row r="3347" spans="1:8" ht="18" customHeight="1" x14ac:dyDescent="0.15">
      <c r="A3347" s="250"/>
      <c r="B3347" s="23" t="s">
        <v>1199</v>
      </c>
      <c r="C3347" s="22">
        <v>1</v>
      </c>
      <c r="D3347" s="86">
        <v>3000</v>
      </c>
      <c r="E3347" s="86">
        <v>100</v>
      </c>
      <c r="F3347" s="87">
        <v>500</v>
      </c>
      <c r="G3347" s="87">
        <v>1600</v>
      </c>
      <c r="H3347" s="88">
        <v>800</v>
      </c>
    </row>
    <row r="3348" spans="1:8" ht="18" customHeight="1" x14ac:dyDescent="0.15">
      <c r="A3348" s="251"/>
      <c r="B3348" s="23" t="s">
        <v>1200</v>
      </c>
      <c r="C3348" s="22">
        <v>13</v>
      </c>
      <c r="D3348" s="86">
        <v>9651</v>
      </c>
      <c r="E3348" s="86">
        <v>466</v>
      </c>
      <c r="F3348" s="87">
        <v>8000</v>
      </c>
      <c r="G3348" s="87">
        <v>1185</v>
      </c>
      <c r="H3348" s="88">
        <v>0</v>
      </c>
    </row>
    <row r="3349" spans="1:8" ht="18" customHeight="1" x14ac:dyDescent="0.15">
      <c r="A3349" s="18" t="s">
        <v>1201</v>
      </c>
      <c r="B3349" s="17" t="s">
        <v>1202</v>
      </c>
      <c r="C3349" s="16">
        <v>3285</v>
      </c>
      <c r="D3349" s="80">
        <v>15822869</v>
      </c>
      <c r="E3349" s="80">
        <v>832100</v>
      </c>
      <c r="F3349" s="81">
        <v>7101812</v>
      </c>
      <c r="G3349" s="81">
        <v>5193942</v>
      </c>
      <c r="H3349" s="82">
        <v>2695015</v>
      </c>
    </row>
    <row r="3350" spans="1:8" ht="13.5" x14ac:dyDescent="0.15">
      <c r="A3350" s="252" t="s">
        <v>1203</v>
      </c>
      <c r="B3350" s="12" t="s">
        <v>1204</v>
      </c>
      <c r="C3350" s="11">
        <v>5979</v>
      </c>
      <c r="D3350" s="89">
        <v>79298509</v>
      </c>
      <c r="E3350" s="89">
        <v>48962915</v>
      </c>
      <c r="F3350" s="90">
        <v>12756910</v>
      </c>
      <c r="G3350" s="90">
        <v>11039488</v>
      </c>
      <c r="H3350" s="91">
        <v>6539195</v>
      </c>
    </row>
    <row r="3351" spans="1:8" ht="18" customHeight="1" thickBot="1" x14ac:dyDescent="0.2">
      <c r="A3351" s="253"/>
      <c r="B3351" s="7" t="s">
        <v>1205</v>
      </c>
      <c r="C3351" s="6">
        <v>5395</v>
      </c>
      <c r="D3351" s="92" t="s">
        <v>1206</v>
      </c>
      <c r="E3351" s="92" t="s">
        <v>54</v>
      </c>
      <c r="F3351" s="92" t="s">
        <v>54</v>
      </c>
      <c r="G3351" s="92" t="s">
        <v>54</v>
      </c>
      <c r="H3351" s="93" t="s">
        <v>54</v>
      </c>
    </row>
    <row r="3352" spans="1:8" ht="18" customHeight="1" x14ac:dyDescent="0.15">
      <c r="A3352" s="3" t="s">
        <v>1207</v>
      </c>
      <c r="B3352" s="2"/>
      <c r="C3352" s="2"/>
      <c r="D3352" s="2"/>
      <c r="E3352" s="2"/>
      <c r="F3352" s="2"/>
      <c r="G3352" s="2"/>
      <c r="H3352" s="2"/>
    </row>
    <row r="3353" spans="1:8" ht="18" customHeight="1" x14ac:dyDescent="0.15">
      <c r="A3353" s="3" t="s">
        <v>2587</v>
      </c>
      <c r="B3353" s="2"/>
      <c r="C3353" s="2"/>
      <c r="D3353" s="2"/>
      <c r="E3353" s="2"/>
      <c r="F3353" s="2"/>
      <c r="G3353" s="2"/>
      <c r="H3353" s="2"/>
    </row>
    <row r="3354" spans="1:8" ht="18" customHeight="1" x14ac:dyDescent="0.15">
      <c r="A3354" s="3" t="s">
        <v>1208</v>
      </c>
      <c r="B3354" s="2"/>
      <c r="C3354" s="2"/>
      <c r="D3354" s="2"/>
      <c r="E3354" s="2"/>
      <c r="F3354" s="2"/>
      <c r="G3354" s="2"/>
      <c r="H3354" s="2"/>
    </row>
    <row r="3355" spans="1:8" ht="18" customHeight="1" x14ac:dyDescent="0.15">
      <c r="A3355" s="3" t="s">
        <v>1209</v>
      </c>
      <c r="B3355" s="2"/>
      <c r="C3355" s="2"/>
      <c r="D3355" s="2"/>
      <c r="E3355" s="2"/>
      <c r="F3355" s="2"/>
      <c r="G3355" s="2"/>
      <c r="H3355" s="2"/>
    </row>
    <row r="3356" spans="1:8" ht="24" x14ac:dyDescent="0.15">
      <c r="A3356" s="230" t="s">
        <v>1106</v>
      </c>
      <c r="B3356" s="230"/>
      <c r="C3356" s="230"/>
      <c r="D3356" s="230"/>
      <c r="E3356" s="230"/>
      <c r="F3356" s="230"/>
      <c r="G3356" s="230"/>
      <c r="H3356" s="230"/>
    </row>
    <row r="3357" spans="1:8" ht="18" customHeight="1" x14ac:dyDescent="0.15">
      <c r="A3357" s="231"/>
      <c r="B3357" s="231"/>
      <c r="C3357" s="231"/>
      <c r="D3357" s="231"/>
      <c r="E3357" s="231"/>
      <c r="F3357" s="231"/>
      <c r="G3357" s="231"/>
      <c r="H3357" s="231"/>
    </row>
    <row r="3358" spans="1:8" ht="18" customHeight="1" thickBot="1" x14ac:dyDescent="0.2">
      <c r="A3358" s="58" t="s">
        <v>1107</v>
      </c>
    </row>
    <row r="3359" spans="1:8" ht="14.25" x14ac:dyDescent="0.15">
      <c r="A3359" s="232" t="s">
        <v>1108</v>
      </c>
      <c r="B3359" s="235" t="s">
        <v>1109</v>
      </c>
      <c r="C3359" s="238" t="s">
        <v>1110</v>
      </c>
      <c r="D3359" s="241" t="s">
        <v>1111</v>
      </c>
      <c r="E3359" s="57"/>
      <c r="F3359" s="56"/>
      <c r="G3359" s="56"/>
      <c r="H3359" s="55"/>
    </row>
    <row r="3360" spans="1:8" ht="24" customHeight="1" x14ac:dyDescent="0.15">
      <c r="A3360" s="233"/>
      <c r="B3360" s="236"/>
      <c r="C3360" s="239"/>
      <c r="D3360" s="242"/>
      <c r="E3360" s="244" t="s">
        <v>1112</v>
      </c>
      <c r="F3360" s="246" t="s">
        <v>1113</v>
      </c>
      <c r="G3360" s="246" t="s">
        <v>1114</v>
      </c>
      <c r="H3360" s="248" t="s">
        <v>1115</v>
      </c>
    </row>
    <row r="3361" spans="1:8" ht="18" customHeight="1" thickBot="1" x14ac:dyDescent="0.2">
      <c r="A3361" s="234"/>
      <c r="B3361" s="237"/>
      <c r="C3361" s="240"/>
      <c r="D3361" s="243"/>
      <c r="E3361" s="245"/>
      <c r="F3361" s="247"/>
      <c r="G3361" s="247"/>
      <c r="H3361" s="249"/>
    </row>
    <row r="3362" spans="1:8" ht="15" thickTop="1" x14ac:dyDescent="0.15">
      <c r="A3362" s="54"/>
      <c r="B3362" s="53"/>
      <c r="C3362" s="52"/>
      <c r="D3362" s="51" t="s">
        <v>1116</v>
      </c>
      <c r="E3362" s="50" t="s">
        <v>1116</v>
      </c>
      <c r="F3362" s="49" t="s">
        <v>1116</v>
      </c>
      <c r="G3362" s="49" t="s">
        <v>1116</v>
      </c>
      <c r="H3362" s="48" t="s">
        <v>1116</v>
      </c>
    </row>
    <row r="3363" spans="1:8" ht="18" customHeight="1" x14ac:dyDescent="0.15">
      <c r="A3363" s="250" t="s">
        <v>1117</v>
      </c>
      <c r="B3363" s="61" t="s">
        <v>1118</v>
      </c>
      <c r="C3363" s="62">
        <v>3680</v>
      </c>
      <c r="D3363" s="63">
        <v>868311427</v>
      </c>
      <c r="E3363" s="63">
        <v>341645749</v>
      </c>
      <c r="F3363" s="64">
        <v>251826515</v>
      </c>
      <c r="G3363" s="64">
        <v>267524591</v>
      </c>
      <c r="H3363" s="65">
        <v>7314571</v>
      </c>
    </row>
    <row r="3364" spans="1:8" ht="18" customHeight="1" x14ac:dyDescent="0.15">
      <c r="A3364" s="250"/>
      <c r="B3364" s="66" t="s">
        <v>1119</v>
      </c>
      <c r="C3364" s="67">
        <v>34</v>
      </c>
      <c r="D3364" s="68">
        <v>310659</v>
      </c>
      <c r="E3364" s="68">
        <v>98911</v>
      </c>
      <c r="F3364" s="69">
        <v>181529</v>
      </c>
      <c r="G3364" s="69">
        <v>30218</v>
      </c>
      <c r="H3364" s="70">
        <v>0</v>
      </c>
    </row>
    <row r="3365" spans="1:8" ht="13.5" x14ac:dyDescent="0.15">
      <c r="A3365" s="250"/>
      <c r="B3365" s="66" t="s">
        <v>1120</v>
      </c>
      <c r="C3365" s="67">
        <v>50</v>
      </c>
      <c r="D3365" s="68">
        <v>0</v>
      </c>
      <c r="E3365" s="68">
        <v>0</v>
      </c>
      <c r="F3365" s="69">
        <v>0</v>
      </c>
      <c r="G3365" s="69">
        <v>0</v>
      </c>
      <c r="H3365" s="70">
        <v>0</v>
      </c>
    </row>
    <row r="3366" spans="1:8" ht="18" customHeight="1" x14ac:dyDescent="0.15">
      <c r="A3366" s="250"/>
      <c r="B3366" s="71" t="s">
        <v>1121</v>
      </c>
      <c r="C3366" s="72">
        <v>1</v>
      </c>
      <c r="D3366" s="73">
        <v>164661</v>
      </c>
      <c r="E3366" s="73">
        <v>124264</v>
      </c>
      <c r="F3366" s="74">
        <v>8665</v>
      </c>
      <c r="G3366" s="74">
        <v>30074</v>
      </c>
      <c r="H3366" s="75">
        <v>1657</v>
      </c>
    </row>
    <row r="3367" spans="1:8" ht="18" customHeight="1" x14ac:dyDescent="0.15">
      <c r="A3367" s="250"/>
      <c r="B3367" s="66" t="s">
        <v>1122</v>
      </c>
      <c r="C3367" s="67">
        <v>62</v>
      </c>
      <c r="D3367" s="68">
        <v>11318779</v>
      </c>
      <c r="E3367" s="68">
        <v>3135555</v>
      </c>
      <c r="F3367" s="69">
        <v>2870551</v>
      </c>
      <c r="G3367" s="69">
        <v>5276682</v>
      </c>
      <c r="H3367" s="70">
        <v>35988</v>
      </c>
    </row>
    <row r="3368" spans="1:8" ht="13.5" x14ac:dyDescent="0.15">
      <c r="A3368" s="250"/>
      <c r="B3368" s="76" t="s">
        <v>1123</v>
      </c>
      <c r="C3368" s="67">
        <v>171</v>
      </c>
      <c r="D3368" s="68">
        <v>27594798</v>
      </c>
      <c r="E3368" s="68">
        <v>3135027</v>
      </c>
      <c r="F3368" s="69">
        <v>1754494</v>
      </c>
      <c r="G3368" s="69">
        <v>22670922</v>
      </c>
      <c r="H3368" s="70">
        <v>34353</v>
      </c>
    </row>
    <row r="3369" spans="1:8" ht="18" customHeight="1" x14ac:dyDescent="0.15">
      <c r="A3369" s="251"/>
      <c r="B3369" s="77" t="s">
        <v>1124</v>
      </c>
      <c r="C3369" s="72">
        <v>51</v>
      </c>
      <c r="D3369" s="73">
        <v>311917</v>
      </c>
      <c r="E3369" s="73">
        <v>287043</v>
      </c>
      <c r="F3369" s="74">
        <v>7003</v>
      </c>
      <c r="G3369" s="74">
        <v>16895</v>
      </c>
      <c r="H3369" s="75">
        <v>975</v>
      </c>
    </row>
    <row r="3370" spans="1:8" ht="18" customHeight="1" x14ac:dyDescent="0.15">
      <c r="A3370" s="30" t="s">
        <v>1125</v>
      </c>
      <c r="B3370" s="78" t="s">
        <v>1126</v>
      </c>
      <c r="C3370" s="79">
        <v>31</v>
      </c>
      <c r="D3370" s="80">
        <v>103097</v>
      </c>
      <c r="E3370" s="80">
        <v>101127</v>
      </c>
      <c r="F3370" s="81">
        <v>1829</v>
      </c>
      <c r="G3370" s="81">
        <v>0</v>
      </c>
      <c r="H3370" s="82">
        <v>139</v>
      </c>
    </row>
    <row r="3371" spans="1:8" ht="13.5" x14ac:dyDescent="0.15">
      <c r="A3371" s="252" t="s">
        <v>1127</v>
      </c>
      <c r="B3371" s="17" t="s">
        <v>1128</v>
      </c>
      <c r="C3371" s="16">
        <v>3095</v>
      </c>
      <c r="D3371" s="83">
        <v>60291166</v>
      </c>
      <c r="E3371" s="83">
        <v>9214279</v>
      </c>
      <c r="F3371" s="84">
        <v>9074808</v>
      </c>
      <c r="G3371" s="84">
        <v>34286858</v>
      </c>
      <c r="H3371" s="85">
        <v>7715220</v>
      </c>
    </row>
    <row r="3372" spans="1:8" ht="18" customHeight="1" x14ac:dyDescent="0.15">
      <c r="A3372" s="250"/>
      <c r="B3372" s="23" t="s">
        <v>1129</v>
      </c>
      <c r="C3372" s="22">
        <v>2982</v>
      </c>
      <c r="D3372" s="86">
        <v>14212141</v>
      </c>
      <c r="E3372" s="86">
        <v>618589</v>
      </c>
      <c r="F3372" s="87">
        <v>3399356</v>
      </c>
      <c r="G3372" s="87">
        <v>8330945</v>
      </c>
      <c r="H3372" s="88">
        <v>1863249</v>
      </c>
    </row>
    <row r="3373" spans="1:8" ht="18" customHeight="1" x14ac:dyDescent="0.15">
      <c r="A3373" s="250"/>
      <c r="B3373" s="24" t="s">
        <v>1130</v>
      </c>
      <c r="C3373" s="22">
        <v>616</v>
      </c>
      <c r="D3373" s="86">
        <v>32746410</v>
      </c>
      <c r="E3373" s="86">
        <v>2184857</v>
      </c>
      <c r="F3373" s="87">
        <v>6615721</v>
      </c>
      <c r="G3373" s="87">
        <v>17414484</v>
      </c>
      <c r="H3373" s="88">
        <v>6531346</v>
      </c>
    </row>
    <row r="3374" spans="1:8" ht="13.5" x14ac:dyDescent="0.15">
      <c r="A3374" s="250"/>
      <c r="B3374" s="23" t="s">
        <v>1131</v>
      </c>
      <c r="C3374" s="22">
        <v>1584</v>
      </c>
      <c r="D3374" s="86">
        <v>47192800</v>
      </c>
      <c r="E3374" s="86">
        <v>4366496</v>
      </c>
      <c r="F3374" s="87">
        <v>8325178</v>
      </c>
      <c r="G3374" s="87">
        <v>30593759</v>
      </c>
      <c r="H3374" s="88">
        <v>3907365</v>
      </c>
    </row>
    <row r="3375" spans="1:8" ht="18" customHeight="1" x14ac:dyDescent="0.15">
      <c r="A3375" s="250"/>
      <c r="B3375" s="23" t="s">
        <v>1132</v>
      </c>
      <c r="C3375" s="22">
        <v>260</v>
      </c>
      <c r="D3375" s="86">
        <v>4187500</v>
      </c>
      <c r="E3375" s="86">
        <v>222822</v>
      </c>
      <c r="F3375" s="87">
        <v>111581</v>
      </c>
      <c r="G3375" s="87">
        <v>3799163</v>
      </c>
      <c r="H3375" s="88">
        <v>53932</v>
      </c>
    </row>
    <row r="3376" spans="1:8" ht="18" customHeight="1" x14ac:dyDescent="0.15">
      <c r="A3376" s="250"/>
      <c r="B3376" s="23" t="s">
        <v>1133</v>
      </c>
      <c r="C3376" s="22">
        <v>113</v>
      </c>
      <c r="D3376" s="86">
        <v>1081600</v>
      </c>
      <c r="E3376" s="86">
        <v>248550</v>
      </c>
      <c r="F3376" s="87">
        <v>65300</v>
      </c>
      <c r="G3376" s="87">
        <v>500720</v>
      </c>
      <c r="H3376" s="88">
        <v>267030</v>
      </c>
    </row>
    <row r="3377" spans="1:8" ht="18" customHeight="1" x14ac:dyDescent="0.15">
      <c r="A3377" s="250"/>
      <c r="B3377" s="23" t="s">
        <v>1134</v>
      </c>
      <c r="C3377" s="22">
        <v>30</v>
      </c>
      <c r="D3377" s="86">
        <v>253821</v>
      </c>
      <c r="E3377" s="86">
        <v>120815</v>
      </c>
      <c r="F3377" s="87">
        <v>16390</v>
      </c>
      <c r="G3377" s="87">
        <v>68533</v>
      </c>
      <c r="H3377" s="88">
        <v>48083</v>
      </c>
    </row>
    <row r="3378" spans="1:8" ht="18" customHeight="1" x14ac:dyDescent="0.15">
      <c r="A3378" s="250"/>
      <c r="B3378" s="23" t="s">
        <v>1135</v>
      </c>
      <c r="C3378" s="22">
        <v>0</v>
      </c>
      <c r="D3378" s="86">
        <v>0</v>
      </c>
      <c r="E3378" s="86">
        <v>0</v>
      </c>
      <c r="F3378" s="87">
        <v>0</v>
      </c>
      <c r="G3378" s="87">
        <v>0</v>
      </c>
      <c r="H3378" s="88">
        <v>0</v>
      </c>
    </row>
    <row r="3379" spans="1:8" ht="18" customHeight="1" x14ac:dyDescent="0.15">
      <c r="A3379" s="250"/>
      <c r="B3379" s="23" t="s">
        <v>1136</v>
      </c>
      <c r="C3379" s="22">
        <v>245</v>
      </c>
      <c r="D3379" s="86">
        <v>9655410</v>
      </c>
      <c r="E3379" s="86">
        <v>894710</v>
      </c>
      <c r="F3379" s="87">
        <v>2868680</v>
      </c>
      <c r="G3379" s="87">
        <v>3614980</v>
      </c>
      <c r="H3379" s="88">
        <v>2277040</v>
      </c>
    </row>
    <row r="3380" spans="1:8" ht="18" customHeight="1" x14ac:dyDescent="0.15">
      <c r="A3380" s="250"/>
      <c r="B3380" s="23" t="s">
        <v>1137</v>
      </c>
      <c r="C3380" s="22">
        <v>3077</v>
      </c>
      <c r="D3380" s="86">
        <v>62423531</v>
      </c>
      <c r="E3380" s="86">
        <v>13490134</v>
      </c>
      <c r="F3380" s="87">
        <v>9710948</v>
      </c>
      <c r="G3380" s="87">
        <v>32594248</v>
      </c>
      <c r="H3380" s="88">
        <v>6628198</v>
      </c>
    </row>
    <row r="3381" spans="1:8" ht="18" customHeight="1" x14ac:dyDescent="0.15">
      <c r="A3381" s="250"/>
      <c r="B3381" s="23" t="s">
        <v>1138</v>
      </c>
      <c r="C3381" s="22">
        <v>600</v>
      </c>
      <c r="D3381" s="86">
        <v>15430551</v>
      </c>
      <c r="E3381" s="86">
        <v>2071359</v>
      </c>
      <c r="F3381" s="87">
        <v>3042573</v>
      </c>
      <c r="G3381" s="87">
        <v>8989481</v>
      </c>
      <c r="H3381" s="88">
        <v>1327136</v>
      </c>
    </row>
    <row r="3382" spans="1:8" ht="18" customHeight="1" x14ac:dyDescent="0.15">
      <c r="A3382" s="250"/>
      <c r="B3382" s="23" t="s">
        <v>1139</v>
      </c>
      <c r="C3382" s="22">
        <v>47387</v>
      </c>
      <c r="D3382" s="86">
        <v>13044451</v>
      </c>
      <c r="E3382" s="86">
        <v>782556</v>
      </c>
      <c r="F3382" s="87">
        <v>5951241</v>
      </c>
      <c r="G3382" s="87">
        <v>5940684</v>
      </c>
      <c r="H3382" s="88">
        <v>369970</v>
      </c>
    </row>
    <row r="3383" spans="1:8" ht="18" customHeight="1" x14ac:dyDescent="0.15">
      <c r="A3383" s="250"/>
      <c r="B3383" s="23" t="s">
        <v>1140</v>
      </c>
      <c r="C3383" s="22">
        <v>673</v>
      </c>
      <c r="D3383" s="86">
        <v>1925597</v>
      </c>
      <c r="E3383" s="86">
        <v>32761</v>
      </c>
      <c r="F3383" s="87">
        <v>1379099</v>
      </c>
      <c r="G3383" s="87">
        <v>513736</v>
      </c>
      <c r="H3383" s="88">
        <v>0</v>
      </c>
    </row>
    <row r="3384" spans="1:8" ht="13.5" x14ac:dyDescent="0.15">
      <c r="A3384" s="250"/>
      <c r="B3384" s="23" t="s">
        <v>1141</v>
      </c>
      <c r="C3384" s="22">
        <v>51</v>
      </c>
      <c r="D3384" s="86">
        <v>508600</v>
      </c>
      <c r="E3384" s="86">
        <v>123930</v>
      </c>
      <c r="F3384" s="87">
        <v>71100</v>
      </c>
      <c r="G3384" s="87">
        <v>264669</v>
      </c>
      <c r="H3384" s="88">
        <v>48901</v>
      </c>
    </row>
    <row r="3385" spans="1:8" ht="18" customHeight="1" x14ac:dyDescent="0.15">
      <c r="A3385" s="250"/>
      <c r="B3385" s="23" t="s">
        <v>1142</v>
      </c>
      <c r="C3385" s="22">
        <v>429</v>
      </c>
      <c r="D3385" s="86">
        <v>2145758</v>
      </c>
      <c r="E3385" s="86">
        <v>210981</v>
      </c>
      <c r="F3385" s="87">
        <v>1099174</v>
      </c>
      <c r="G3385" s="87">
        <v>780003</v>
      </c>
      <c r="H3385" s="88">
        <v>55600</v>
      </c>
    </row>
    <row r="3386" spans="1:8" ht="18" customHeight="1" x14ac:dyDescent="0.15">
      <c r="A3386" s="250"/>
      <c r="B3386" s="23" t="s">
        <v>1143</v>
      </c>
      <c r="C3386" s="22">
        <v>284</v>
      </c>
      <c r="D3386" s="86">
        <v>7633700</v>
      </c>
      <c r="E3386" s="86">
        <v>694970</v>
      </c>
      <c r="F3386" s="87">
        <v>1425600</v>
      </c>
      <c r="G3386" s="87">
        <v>5005000</v>
      </c>
      <c r="H3386" s="88">
        <v>508130</v>
      </c>
    </row>
    <row r="3387" spans="1:8" ht="18" customHeight="1" x14ac:dyDescent="0.15">
      <c r="A3387" s="250"/>
      <c r="B3387" s="23" t="s">
        <v>1144</v>
      </c>
      <c r="C3387" s="22">
        <v>39</v>
      </c>
      <c r="D3387" s="86">
        <v>1823600</v>
      </c>
      <c r="E3387" s="86">
        <v>149800</v>
      </c>
      <c r="F3387" s="87">
        <v>608300</v>
      </c>
      <c r="G3387" s="87">
        <v>916100</v>
      </c>
      <c r="H3387" s="88">
        <v>149400</v>
      </c>
    </row>
    <row r="3388" spans="1:8" ht="18" customHeight="1" x14ac:dyDescent="0.15">
      <c r="A3388" s="250"/>
      <c r="B3388" s="23" t="s">
        <v>1145</v>
      </c>
      <c r="C3388" s="22">
        <v>0</v>
      </c>
      <c r="D3388" s="86">
        <v>0</v>
      </c>
      <c r="E3388" s="86">
        <v>0</v>
      </c>
      <c r="F3388" s="87">
        <v>0</v>
      </c>
      <c r="G3388" s="87">
        <v>0</v>
      </c>
      <c r="H3388" s="88">
        <v>0</v>
      </c>
    </row>
    <row r="3389" spans="1:8" ht="18" customHeight="1" x14ac:dyDescent="0.15">
      <c r="A3389" s="250"/>
      <c r="B3389" s="23" t="s">
        <v>1146</v>
      </c>
      <c r="C3389" s="22">
        <v>3</v>
      </c>
      <c r="D3389" s="86">
        <v>10800</v>
      </c>
      <c r="E3389" s="86">
        <v>0</v>
      </c>
      <c r="F3389" s="87">
        <v>0</v>
      </c>
      <c r="G3389" s="87">
        <v>10800</v>
      </c>
      <c r="H3389" s="88">
        <v>0</v>
      </c>
    </row>
    <row r="3390" spans="1:8" ht="13.5" x14ac:dyDescent="0.15">
      <c r="A3390" s="250"/>
      <c r="B3390" s="23" t="s">
        <v>1147</v>
      </c>
      <c r="C3390" s="22">
        <v>1</v>
      </c>
      <c r="D3390" s="86">
        <v>3000</v>
      </c>
      <c r="E3390" s="86">
        <v>100</v>
      </c>
      <c r="F3390" s="87">
        <v>500</v>
      </c>
      <c r="G3390" s="87">
        <v>1600</v>
      </c>
      <c r="H3390" s="88">
        <v>800</v>
      </c>
    </row>
    <row r="3391" spans="1:8" ht="18" customHeight="1" x14ac:dyDescent="0.15">
      <c r="A3391" s="251"/>
      <c r="B3391" s="23" t="s">
        <v>1148</v>
      </c>
      <c r="C3391" s="22">
        <v>13</v>
      </c>
      <c r="D3391" s="86">
        <v>1751</v>
      </c>
      <c r="E3391" s="86">
        <v>466</v>
      </c>
      <c r="F3391" s="87">
        <v>0</v>
      </c>
      <c r="G3391" s="87">
        <v>1285</v>
      </c>
      <c r="H3391" s="88">
        <v>0</v>
      </c>
    </row>
    <row r="3392" spans="1:8" ht="18" customHeight="1" x14ac:dyDescent="0.15">
      <c r="A3392" s="18" t="s">
        <v>1149</v>
      </c>
      <c r="B3392" s="17" t="s">
        <v>1150</v>
      </c>
      <c r="C3392" s="16">
        <v>3341</v>
      </c>
      <c r="D3392" s="80">
        <v>14133751</v>
      </c>
      <c r="E3392" s="80">
        <v>854800</v>
      </c>
      <c r="F3392" s="81">
        <v>6158215</v>
      </c>
      <c r="G3392" s="81">
        <v>4928538</v>
      </c>
      <c r="H3392" s="82">
        <v>2192198</v>
      </c>
    </row>
    <row r="3393" spans="1:8" ht="18" customHeight="1" x14ac:dyDescent="0.15">
      <c r="A3393" s="252" t="s">
        <v>1151</v>
      </c>
      <c r="B3393" s="12" t="s">
        <v>1152</v>
      </c>
      <c r="C3393" s="11">
        <v>5981</v>
      </c>
      <c r="D3393" s="89">
        <v>77976727</v>
      </c>
      <c r="E3393" s="89">
        <v>47761171</v>
      </c>
      <c r="F3393" s="90">
        <v>12728337</v>
      </c>
      <c r="G3393" s="90">
        <v>11039971</v>
      </c>
      <c r="H3393" s="91">
        <v>6447247</v>
      </c>
    </row>
    <row r="3394" spans="1:8" ht="18" customHeight="1" thickBot="1" x14ac:dyDescent="0.2">
      <c r="A3394" s="253"/>
      <c r="B3394" s="7" t="s">
        <v>1153</v>
      </c>
      <c r="C3394" s="6">
        <v>5320</v>
      </c>
      <c r="D3394" s="92" t="s">
        <v>1154</v>
      </c>
      <c r="E3394" s="92" t="s">
        <v>54</v>
      </c>
      <c r="F3394" s="92" t="s">
        <v>54</v>
      </c>
      <c r="G3394" s="92" t="s">
        <v>54</v>
      </c>
      <c r="H3394" s="93" t="s">
        <v>54</v>
      </c>
    </row>
    <row r="3395" spans="1:8" ht="18" customHeight="1" x14ac:dyDescent="0.15">
      <c r="A3395" s="3" t="s">
        <v>1155</v>
      </c>
      <c r="B3395" s="2"/>
      <c r="C3395" s="2"/>
      <c r="D3395" s="2"/>
      <c r="E3395" s="2"/>
      <c r="F3395" s="2"/>
      <c r="G3395" s="2"/>
      <c r="H3395" s="2"/>
    </row>
    <row r="3396" spans="1:8" ht="12" x14ac:dyDescent="0.15">
      <c r="A3396" s="3" t="s">
        <v>2587</v>
      </c>
      <c r="B3396" s="2"/>
      <c r="C3396" s="2"/>
      <c r="D3396" s="2"/>
      <c r="E3396" s="2"/>
      <c r="F3396" s="2"/>
      <c r="G3396" s="2"/>
      <c r="H3396" s="2"/>
    </row>
    <row r="3397" spans="1:8" ht="18" customHeight="1" x14ac:dyDescent="0.15">
      <c r="A3397" s="3" t="s">
        <v>1156</v>
      </c>
      <c r="B3397" s="2"/>
      <c r="C3397" s="2"/>
      <c r="D3397" s="2"/>
      <c r="E3397" s="2"/>
      <c r="F3397" s="2"/>
      <c r="G3397" s="2"/>
      <c r="H3397" s="2"/>
    </row>
    <row r="3398" spans="1:8" ht="18" customHeight="1" x14ac:dyDescent="0.15">
      <c r="A3398" s="3" t="s">
        <v>1157</v>
      </c>
      <c r="B3398" s="2"/>
      <c r="C3398" s="2"/>
      <c r="D3398" s="2"/>
      <c r="E3398" s="2"/>
      <c r="F3398" s="2"/>
      <c r="G3398" s="2"/>
      <c r="H3398" s="2"/>
    </row>
    <row r="3399" spans="1:8" ht="24" x14ac:dyDescent="0.15">
      <c r="A3399" s="230" t="s">
        <v>1056</v>
      </c>
      <c r="B3399" s="230"/>
      <c r="C3399" s="230"/>
      <c r="D3399" s="230"/>
      <c r="E3399" s="230"/>
      <c r="F3399" s="230"/>
      <c r="G3399" s="230"/>
      <c r="H3399" s="230"/>
    </row>
    <row r="3400" spans="1:8" ht="24" customHeight="1" x14ac:dyDescent="0.15">
      <c r="A3400" s="231"/>
      <c r="B3400" s="231"/>
      <c r="C3400" s="231"/>
      <c r="D3400" s="231"/>
      <c r="E3400" s="231"/>
      <c r="F3400" s="231"/>
      <c r="G3400" s="231"/>
      <c r="H3400" s="231"/>
    </row>
    <row r="3401" spans="1:8" ht="18" customHeight="1" thickBot="1" x14ac:dyDescent="0.2">
      <c r="A3401" s="58" t="s">
        <v>1057</v>
      </c>
    </row>
    <row r="3402" spans="1:8" ht="14.25" x14ac:dyDescent="0.15">
      <c r="A3402" s="232" t="s">
        <v>1058</v>
      </c>
      <c r="B3402" s="235" t="s">
        <v>1059</v>
      </c>
      <c r="C3402" s="238" t="s">
        <v>1060</v>
      </c>
      <c r="D3402" s="241" t="s">
        <v>1061</v>
      </c>
      <c r="E3402" s="57"/>
      <c r="F3402" s="56"/>
      <c r="G3402" s="56"/>
      <c r="H3402" s="55"/>
    </row>
    <row r="3403" spans="1:8" ht="18" customHeight="1" x14ac:dyDescent="0.15">
      <c r="A3403" s="233"/>
      <c r="B3403" s="236"/>
      <c r="C3403" s="239"/>
      <c r="D3403" s="242"/>
      <c r="E3403" s="244" t="s">
        <v>1062</v>
      </c>
      <c r="F3403" s="246" t="s">
        <v>1063</v>
      </c>
      <c r="G3403" s="246" t="s">
        <v>1064</v>
      </c>
      <c r="H3403" s="248" t="s">
        <v>1065</v>
      </c>
    </row>
    <row r="3404" spans="1:8" ht="18" customHeight="1" thickBot="1" x14ac:dyDescent="0.2">
      <c r="A3404" s="234"/>
      <c r="B3404" s="237"/>
      <c r="C3404" s="240"/>
      <c r="D3404" s="243"/>
      <c r="E3404" s="245"/>
      <c r="F3404" s="247"/>
      <c r="G3404" s="247"/>
      <c r="H3404" s="249"/>
    </row>
    <row r="3405" spans="1:8" ht="15" thickTop="1" x14ac:dyDescent="0.15">
      <c r="A3405" s="54"/>
      <c r="B3405" s="53"/>
      <c r="C3405" s="52"/>
      <c r="D3405" s="51" t="s">
        <v>1066</v>
      </c>
      <c r="E3405" s="50" t="s">
        <v>1066</v>
      </c>
      <c r="F3405" s="49" t="s">
        <v>1066</v>
      </c>
      <c r="G3405" s="49" t="s">
        <v>1066</v>
      </c>
      <c r="H3405" s="48" t="s">
        <v>1066</v>
      </c>
    </row>
    <row r="3406" spans="1:8" ht="18" customHeight="1" x14ac:dyDescent="0.15">
      <c r="A3406" s="250" t="s">
        <v>1067</v>
      </c>
      <c r="B3406" s="61" t="s">
        <v>1068</v>
      </c>
      <c r="C3406" s="62">
        <v>3673</v>
      </c>
      <c r="D3406" s="63">
        <v>636083697</v>
      </c>
      <c r="E3406" s="63">
        <v>239027881</v>
      </c>
      <c r="F3406" s="64">
        <v>196645166</v>
      </c>
      <c r="G3406" s="64">
        <v>194978498</v>
      </c>
      <c r="H3406" s="65">
        <v>5432150</v>
      </c>
    </row>
    <row r="3407" spans="1:8" ht="18" customHeight="1" x14ac:dyDescent="0.15">
      <c r="A3407" s="250"/>
      <c r="B3407" s="66" t="s">
        <v>1069</v>
      </c>
      <c r="C3407" s="67">
        <v>37</v>
      </c>
      <c r="D3407" s="68">
        <v>315740</v>
      </c>
      <c r="E3407" s="68">
        <v>93896</v>
      </c>
      <c r="F3407" s="69">
        <v>186504</v>
      </c>
      <c r="G3407" s="69">
        <v>35339</v>
      </c>
      <c r="H3407" s="70">
        <v>0</v>
      </c>
    </row>
    <row r="3408" spans="1:8" ht="13.5" x14ac:dyDescent="0.15">
      <c r="A3408" s="250"/>
      <c r="B3408" s="66" t="s">
        <v>1070</v>
      </c>
      <c r="C3408" s="67">
        <v>47</v>
      </c>
      <c r="D3408" s="68">
        <v>590</v>
      </c>
      <c r="E3408" s="68">
        <v>582</v>
      </c>
      <c r="F3408" s="69">
        <v>4</v>
      </c>
      <c r="G3408" s="69">
        <v>3</v>
      </c>
      <c r="H3408" s="70">
        <v>0</v>
      </c>
    </row>
    <row r="3409" spans="1:8" ht="18" customHeight="1" x14ac:dyDescent="0.15">
      <c r="A3409" s="250"/>
      <c r="B3409" s="71" t="s">
        <v>1071</v>
      </c>
      <c r="C3409" s="72">
        <v>1</v>
      </c>
      <c r="D3409" s="73">
        <v>166219</v>
      </c>
      <c r="E3409" s="73">
        <v>124807</v>
      </c>
      <c r="F3409" s="74">
        <v>8920</v>
      </c>
      <c r="G3409" s="74">
        <v>30816</v>
      </c>
      <c r="H3409" s="75">
        <v>1675</v>
      </c>
    </row>
    <row r="3410" spans="1:8" ht="18" customHeight="1" x14ac:dyDescent="0.15">
      <c r="A3410" s="250"/>
      <c r="B3410" s="66" t="s">
        <v>1072</v>
      </c>
      <c r="C3410" s="67">
        <v>62</v>
      </c>
      <c r="D3410" s="68">
        <v>11437155</v>
      </c>
      <c r="E3410" s="68">
        <v>3138067</v>
      </c>
      <c r="F3410" s="69">
        <v>2853253</v>
      </c>
      <c r="G3410" s="69">
        <v>5407939</v>
      </c>
      <c r="H3410" s="70">
        <v>37894</v>
      </c>
    </row>
    <row r="3411" spans="1:8" ht="13.5" x14ac:dyDescent="0.15">
      <c r="A3411" s="250"/>
      <c r="B3411" s="76" t="s">
        <v>1073</v>
      </c>
      <c r="C3411" s="67">
        <v>162</v>
      </c>
      <c r="D3411" s="68">
        <v>25833907</v>
      </c>
      <c r="E3411" s="68">
        <v>3119488</v>
      </c>
      <c r="F3411" s="69">
        <v>1223678</v>
      </c>
      <c r="G3411" s="69">
        <v>21448225</v>
      </c>
      <c r="H3411" s="70">
        <v>42515</v>
      </c>
    </row>
    <row r="3412" spans="1:8" ht="18" customHeight="1" x14ac:dyDescent="0.15">
      <c r="A3412" s="251"/>
      <c r="B3412" s="77" t="s">
        <v>1074</v>
      </c>
      <c r="C3412" s="72">
        <v>50</v>
      </c>
      <c r="D3412" s="73">
        <v>301835</v>
      </c>
      <c r="E3412" s="73">
        <v>281075</v>
      </c>
      <c r="F3412" s="74">
        <v>2064</v>
      </c>
      <c r="G3412" s="74">
        <v>17038</v>
      </c>
      <c r="H3412" s="75">
        <v>1656</v>
      </c>
    </row>
    <row r="3413" spans="1:8" ht="18" customHeight="1" x14ac:dyDescent="0.15">
      <c r="A3413" s="30" t="s">
        <v>1075</v>
      </c>
      <c r="B3413" s="78" t="s">
        <v>1076</v>
      </c>
      <c r="C3413" s="79">
        <v>31</v>
      </c>
      <c r="D3413" s="80">
        <v>98275</v>
      </c>
      <c r="E3413" s="80">
        <v>96283</v>
      </c>
      <c r="F3413" s="81">
        <v>1854</v>
      </c>
      <c r="G3413" s="81">
        <v>0</v>
      </c>
      <c r="H3413" s="82">
        <v>137</v>
      </c>
    </row>
    <row r="3414" spans="1:8" ht="13.5" x14ac:dyDescent="0.15">
      <c r="A3414" s="252" t="s">
        <v>1077</v>
      </c>
      <c r="B3414" s="17" t="s">
        <v>1078</v>
      </c>
      <c r="C3414" s="16">
        <v>3104</v>
      </c>
      <c r="D3414" s="83">
        <v>60377966</v>
      </c>
      <c r="E3414" s="83">
        <v>9321646</v>
      </c>
      <c r="F3414" s="84">
        <v>8780862</v>
      </c>
      <c r="G3414" s="84">
        <v>34517486</v>
      </c>
      <c r="H3414" s="85">
        <v>7757971</v>
      </c>
    </row>
    <row r="3415" spans="1:8" ht="18" customHeight="1" x14ac:dyDescent="0.15">
      <c r="A3415" s="250"/>
      <c r="B3415" s="23" t="s">
        <v>1079</v>
      </c>
      <c r="C3415" s="22">
        <v>2963</v>
      </c>
      <c r="D3415" s="86">
        <v>14137010</v>
      </c>
      <c r="E3415" s="86">
        <v>621950</v>
      </c>
      <c r="F3415" s="87">
        <v>3296286</v>
      </c>
      <c r="G3415" s="87">
        <v>8333301</v>
      </c>
      <c r="H3415" s="88">
        <v>1885472</v>
      </c>
    </row>
    <row r="3416" spans="1:8" ht="18" customHeight="1" x14ac:dyDescent="0.15">
      <c r="A3416" s="250"/>
      <c r="B3416" s="24" t="s">
        <v>1080</v>
      </c>
      <c r="C3416" s="22">
        <v>616</v>
      </c>
      <c r="D3416" s="86">
        <v>32846410</v>
      </c>
      <c r="E3416" s="86">
        <v>2257699</v>
      </c>
      <c r="F3416" s="87">
        <v>6495399</v>
      </c>
      <c r="G3416" s="87">
        <v>17444800</v>
      </c>
      <c r="H3416" s="88">
        <v>6648511</v>
      </c>
    </row>
    <row r="3417" spans="1:8" ht="18" customHeight="1" x14ac:dyDescent="0.15">
      <c r="A3417" s="250"/>
      <c r="B3417" s="23" t="s">
        <v>1081</v>
      </c>
      <c r="C3417" s="22">
        <v>1597</v>
      </c>
      <c r="D3417" s="86">
        <v>47438100</v>
      </c>
      <c r="E3417" s="86">
        <v>4291896</v>
      </c>
      <c r="F3417" s="87">
        <v>8443128</v>
      </c>
      <c r="G3417" s="87">
        <v>30738109</v>
      </c>
      <c r="H3417" s="88">
        <v>3964965</v>
      </c>
    </row>
    <row r="3418" spans="1:8" ht="18" customHeight="1" x14ac:dyDescent="0.15">
      <c r="A3418" s="250"/>
      <c r="B3418" s="23" t="s">
        <v>1082</v>
      </c>
      <c r="C3418" s="22">
        <v>254</v>
      </c>
      <c r="D3418" s="86">
        <v>4158000</v>
      </c>
      <c r="E3418" s="86">
        <v>220149</v>
      </c>
      <c r="F3418" s="87">
        <v>119650</v>
      </c>
      <c r="G3418" s="87">
        <v>3773573</v>
      </c>
      <c r="H3418" s="88">
        <v>44626</v>
      </c>
    </row>
    <row r="3419" spans="1:8" ht="18" customHeight="1" x14ac:dyDescent="0.15">
      <c r="A3419" s="250"/>
      <c r="B3419" s="23" t="s">
        <v>1083</v>
      </c>
      <c r="C3419" s="22">
        <v>113</v>
      </c>
      <c r="D3419" s="86">
        <v>1093600</v>
      </c>
      <c r="E3419" s="86">
        <v>246950</v>
      </c>
      <c r="F3419" s="87">
        <v>61000</v>
      </c>
      <c r="G3419" s="87">
        <v>507720</v>
      </c>
      <c r="H3419" s="88">
        <v>277930</v>
      </c>
    </row>
    <row r="3420" spans="1:8" ht="18" customHeight="1" x14ac:dyDescent="0.15">
      <c r="A3420" s="250"/>
      <c r="B3420" s="23" t="s">
        <v>1084</v>
      </c>
      <c r="C3420" s="22">
        <v>30</v>
      </c>
      <c r="D3420" s="86">
        <v>253821</v>
      </c>
      <c r="E3420" s="86">
        <v>121315</v>
      </c>
      <c r="F3420" s="87">
        <v>15890</v>
      </c>
      <c r="G3420" s="87">
        <v>68533</v>
      </c>
      <c r="H3420" s="88">
        <v>48083</v>
      </c>
    </row>
    <row r="3421" spans="1:8" ht="18" customHeight="1" x14ac:dyDescent="0.15">
      <c r="A3421" s="250"/>
      <c r="B3421" s="23" t="s">
        <v>1085</v>
      </c>
      <c r="C3421" s="22">
        <v>0</v>
      </c>
      <c r="D3421" s="86">
        <v>0</v>
      </c>
      <c r="E3421" s="86">
        <v>0</v>
      </c>
      <c r="F3421" s="87">
        <v>0</v>
      </c>
      <c r="G3421" s="87">
        <v>0</v>
      </c>
      <c r="H3421" s="88">
        <v>0</v>
      </c>
    </row>
    <row r="3422" spans="1:8" ht="18" customHeight="1" x14ac:dyDescent="0.15">
      <c r="A3422" s="250"/>
      <c r="B3422" s="23" t="s">
        <v>1086</v>
      </c>
      <c r="C3422" s="22">
        <v>245</v>
      </c>
      <c r="D3422" s="86">
        <v>9746470</v>
      </c>
      <c r="E3422" s="86">
        <v>898150</v>
      </c>
      <c r="F3422" s="87">
        <v>2884050</v>
      </c>
      <c r="G3422" s="87">
        <v>3613930</v>
      </c>
      <c r="H3422" s="88">
        <v>2350340</v>
      </c>
    </row>
    <row r="3423" spans="1:8" ht="18" customHeight="1" x14ac:dyDescent="0.15">
      <c r="A3423" s="250"/>
      <c r="B3423" s="23" t="s">
        <v>1087</v>
      </c>
      <c r="C3423" s="22">
        <v>3107</v>
      </c>
      <c r="D3423" s="86">
        <v>63478561</v>
      </c>
      <c r="E3423" s="86">
        <v>13615355</v>
      </c>
      <c r="F3423" s="87">
        <v>10023133</v>
      </c>
      <c r="G3423" s="87">
        <v>33138193</v>
      </c>
      <c r="H3423" s="88">
        <v>6701878</v>
      </c>
    </row>
    <row r="3424" spans="1:8" ht="13.5" x14ac:dyDescent="0.15">
      <c r="A3424" s="250"/>
      <c r="B3424" s="23" t="s">
        <v>1088</v>
      </c>
      <c r="C3424" s="22">
        <v>615</v>
      </c>
      <c r="D3424" s="86">
        <v>16041351</v>
      </c>
      <c r="E3424" s="86">
        <v>2144871</v>
      </c>
      <c r="F3424" s="87">
        <v>3296863</v>
      </c>
      <c r="G3424" s="87">
        <v>9241180</v>
      </c>
      <c r="H3424" s="88">
        <v>1358435</v>
      </c>
    </row>
    <row r="3425" spans="1:8" ht="18" customHeight="1" x14ac:dyDescent="0.15">
      <c r="A3425" s="250"/>
      <c r="B3425" s="23" t="s">
        <v>1089</v>
      </c>
      <c r="C3425" s="22">
        <v>46489</v>
      </c>
      <c r="D3425" s="86">
        <v>12916105</v>
      </c>
      <c r="E3425" s="86">
        <v>779256</v>
      </c>
      <c r="F3425" s="87">
        <v>5894184</v>
      </c>
      <c r="G3425" s="87">
        <v>5839814</v>
      </c>
      <c r="H3425" s="88">
        <v>402850</v>
      </c>
    </row>
    <row r="3426" spans="1:8" ht="18" customHeight="1" x14ac:dyDescent="0.15">
      <c r="A3426" s="250"/>
      <c r="B3426" s="23" t="s">
        <v>1090</v>
      </c>
      <c r="C3426" s="22">
        <v>673</v>
      </c>
      <c r="D3426" s="86">
        <v>1875897</v>
      </c>
      <c r="E3426" s="86">
        <v>35361</v>
      </c>
      <c r="F3426" s="87">
        <v>1329399</v>
      </c>
      <c r="G3426" s="87">
        <v>511136</v>
      </c>
      <c r="H3426" s="88">
        <v>0</v>
      </c>
    </row>
    <row r="3427" spans="1:8" ht="18" customHeight="1" x14ac:dyDescent="0.15">
      <c r="A3427" s="250"/>
      <c r="B3427" s="23" t="s">
        <v>1091</v>
      </c>
      <c r="C3427" s="22">
        <v>49</v>
      </c>
      <c r="D3427" s="86">
        <v>505600</v>
      </c>
      <c r="E3427" s="86">
        <v>123535</v>
      </c>
      <c r="F3427" s="87">
        <v>71100</v>
      </c>
      <c r="G3427" s="87">
        <v>264665</v>
      </c>
      <c r="H3427" s="88">
        <v>46300</v>
      </c>
    </row>
    <row r="3428" spans="1:8" ht="18" customHeight="1" x14ac:dyDescent="0.15">
      <c r="A3428" s="250"/>
      <c r="B3428" s="23" t="s">
        <v>1092</v>
      </c>
      <c r="C3428" s="22">
        <v>424</v>
      </c>
      <c r="D3428" s="86">
        <v>2171114</v>
      </c>
      <c r="E3428" s="86">
        <v>209281</v>
      </c>
      <c r="F3428" s="87">
        <v>1128115</v>
      </c>
      <c r="G3428" s="87">
        <v>778118</v>
      </c>
      <c r="H3428" s="88">
        <v>55600</v>
      </c>
    </row>
    <row r="3429" spans="1:8" ht="18" customHeight="1" x14ac:dyDescent="0.15">
      <c r="A3429" s="250"/>
      <c r="B3429" s="23" t="s">
        <v>1093</v>
      </c>
      <c r="C3429" s="22">
        <v>289</v>
      </c>
      <c r="D3429" s="86">
        <v>7695500</v>
      </c>
      <c r="E3429" s="86">
        <v>704370</v>
      </c>
      <c r="F3429" s="87">
        <v>1442900</v>
      </c>
      <c r="G3429" s="87">
        <v>5039400</v>
      </c>
      <c r="H3429" s="88">
        <v>508830</v>
      </c>
    </row>
    <row r="3430" spans="1:8" ht="13.5" x14ac:dyDescent="0.15">
      <c r="A3430" s="250"/>
      <c r="B3430" s="23" t="s">
        <v>1094</v>
      </c>
      <c r="C3430" s="22">
        <v>39</v>
      </c>
      <c r="D3430" s="86">
        <v>1823600</v>
      </c>
      <c r="E3430" s="86">
        <v>149800</v>
      </c>
      <c r="F3430" s="87">
        <v>608300</v>
      </c>
      <c r="G3430" s="87">
        <v>916600</v>
      </c>
      <c r="H3430" s="88">
        <v>148900</v>
      </c>
    </row>
    <row r="3431" spans="1:8" ht="18" customHeight="1" x14ac:dyDescent="0.15">
      <c r="A3431" s="250"/>
      <c r="B3431" s="23" t="s">
        <v>1095</v>
      </c>
      <c r="C3431" s="22">
        <v>0</v>
      </c>
      <c r="D3431" s="86">
        <v>0</v>
      </c>
      <c r="E3431" s="86">
        <v>0</v>
      </c>
      <c r="F3431" s="87">
        <v>0</v>
      </c>
      <c r="G3431" s="87">
        <v>0</v>
      </c>
      <c r="H3431" s="88">
        <v>0</v>
      </c>
    </row>
    <row r="3432" spans="1:8" ht="18" customHeight="1" x14ac:dyDescent="0.15">
      <c r="A3432" s="250"/>
      <c r="B3432" s="23" t="s">
        <v>1096</v>
      </c>
      <c r="C3432" s="22">
        <v>3</v>
      </c>
      <c r="D3432" s="86">
        <v>10800</v>
      </c>
      <c r="E3432" s="86">
        <v>0</v>
      </c>
      <c r="F3432" s="87">
        <v>0</v>
      </c>
      <c r="G3432" s="87">
        <v>10800</v>
      </c>
      <c r="H3432" s="88">
        <v>0</v>
      </c>
    </row>
    <row r="3433" spans="1:8" ht="18" customHeight="1" x14ac:dyDescent="0.15">
      <c r="A3433" s="250"/>
      <c r="B3433" s="23" t="s">
        <v>1097</v>
      </c>
      <c r="C3433" s="22">
        <v>1</v>
      </c>
      <c r="D3433" s="86">
        <v>3000</v>
      </c>
      <c r="E3433" s="86">
        <v>100</v>
      </c>
      <c r="F3433" s="87">
        <v>500</v>
      </c>
      <c r="G3433" s="87">
        <v>1600</v>
      </c>
      <c r="H3433" s="88">
        <v>800</v>
      </c>
    </row>
    <row r="3434" spans="1:8" ht="18" customHeight="1" x14ac:dyDescent="0.15">
      <c r="A3434" s="251"/>
      <c r="B3434" s="23" t="s">
        <v>1098</v>
      </c>
      <c r="C3434" s="22">
        <v>11</v>
      </c>
      <c r="D3434" s="86">
        <v>1621</v>
      </c>
      <c r="E3434" s="86">
        <v>466</v>
      </c>
      <c r="F3434" s="87">
        <v>0</v>
      </c>
      <c r="G3434" s="87">
        <v>1155</v>
      </c>
      <c r="H3434" s="88">
        <v>0</v>
      </c>
    </row>
    <row r="3435" spans="1:8" ht="18" customHeight="1" x14ac:dyDescent="0.15">
      <c r="A3435" s="18" t="s">
        <v>1099</v>
      </c>
      <c r="B3435" s="17" t="s">
        <v>1100</v>
      </c>
      <c r="C3435" s="16">
        <v>3314</v>
      </c>
      <c r="D3435" s="80">
        <v>16279922</v>
      </c>
      <c r="E3435" s="80">
        <v>872800</v>
      </c>
      <c r="F3435" s="81">
        <v>6777982</v>
      </c>
      <c r="G3435" s="81">
        <v>5509051</v>
      </c>
      <c r="H3435" s="82">
        <v>3120089</v>
      </c>
    </row>
    <row r="3436" spans="1:8" ht="13.5" x14ac:dyDescent="0.15">
      <c r="A3436" s="252" t="s">
        <v>1101</v>
      </c>
      <c r="B3436" s="12" t="s">
        <v>1102</v>
      </c>
      <c r="C3436" s="11">
        <v>5985</v>
      </c>
      <c r="D3436" s="89">
        <v>76970834</v>
      </c>
      <c r="E3436" s="89">
        <v>47113216</v>
      </c>
      <c r="F3436" s="90">
        <v>12568592</v>
      </c>
      <c r="G3436" s="90">
        <v>10924901</v>
      </c>
      <c r="H3436" s="91">
        <v>6364124</v>
      </c>
    </row>
    <row r="3437" spans="1:8" ht="18" customHeight="1" thickBot="1" x14ac:dyDescent="0.2">
      <c r="A3437" s="253"/>
      <c r="B3437" s="7" t="s">
        <v>1103</v>
      </c>
      <c r="C3437" s="6">
        <v>5215</v>
      </c>
      <c r="D3437" s="92" t="s">
        <v>1104</v>
      </c>
      <c r="E3437" s="92" t="s">
        <v>54</v>
      </c>
      <c r="F3437" s="92" t="s">
        <v>54</v>
      </c>
      <c r="G3437" s="92" t="s">
        <v>54</v>
      </c>
      <c r="H3437" s="93" t="s">
        <v>54</v>
      </c>
    </row>
    <row r="3438" spans="1:8" ht="18" customHeight="1" x14ac:dyDescent="0.15">
      <c r="A3438" s="3" t="s">
        <v>1105</v>
      </c>
      <c r="B3438" s="2"/>
      <c r="C3438" s="2"/>
      <c r="D3438" s="2"/>
      <c r="E3438" s="2"/>
      <c r="F3438" s="2"/>
      <c r="G3438" s="2"/>
      <c r="H3438" s="2"/>
    </row>
    <row r="3439" spans="1:8" ht="24" x14ac:dyDescent="0.15">
      <c r="A3439" s="230" t="s">
        <v>1006</v>
      </c>
      <c r="B3439" s="230"/>
      <c r="C3439" s="230"/>
      <c r="D3439" s="230"/>
      <c r="E3439" s="230"/>
      <c r="F3439" s="230"/>
      <c r="G3439" s="230"/>
      <c r="H3439" s="230"/>
    </row>
    <row r="3440" spans="1:8" ht="24" customHeight="1" x14ac:dyDescent="0.15">
      <c r="A3440" s="231"/>
      <c r="B3440" s="231"/>
      <c r="C3440" s="231"/>
      <c r="D3440" s="231"/>
      <c r="E3440" s="231"/>
      <c r="F3440" s="231"/>
      <c r="G3440" s="231"/>
      <c r="H3440" s="231"/>
    </row>
    <row r="3441" spans="1:8" ht="18" customHeight="1" thickBot="1" x14ac:dyDescent="0.2">
      <c r="A3441" s="58" t="s">
        <v>1007</v>
      </c>
    </row>
    <row r="3442" spans="1:8" ht="14.25" x14ac:dyDescent="0.15">
      <c r="A3442" s="232" t="s">
        <v>1008</v>
      </c>
      <c r="B3442" s="235" t="s">
        <v>1009</v>
      </c>
      <c r="C3442" s="238" t="s">
        <v>1010</v>
      </c>
      <c r="D3442" s="241" t="s">
        <v>1011</v>
      </c>
      <c r="E3442" s="57"/>
      <c r="F3442" s="56"/>
      <c r="G3442" s="56"/>
      <c r="H3442" s="55"/>
    </row>
    <row r="3443" spans="1:8" ht="18" customHeight="1" x14ac:dyDescent="0.15">
      <c r="A3443" s="233"/>
      <c r="B3443" s="236"/>
      <c r="C3443" s="239"/>
      <c r="D3443" s="242"/>
      <c r="E3443" s="244" t="s">
        <v>1012</v>
      </c>
      <c r="F3443" s="246" t="s">
        <v>1013</v>
      </c>
      <c r="G3443" s="246" t="s">
        <v>1014</v>
      </c>
      <c r="H3443" s="248" t="s">
        <v>1015</v>
      </c>
    </row>
    <row r="3444" spans="1:8" ht="18" customHeight="1" thickBot="1" x14ac:dyDescent="0.2">
      <c r="A3444" s="234"/>
      <c r="B3444" s="237"/>
      <c r="C3444" s="240"/>
      <c r="D3444" s="243"/>
      <c r="E3444" s="245"/>
      <c r="F3444" s="247"/>
      <c r="G3444" s="247"/>
      <c r="H3444" s="249"/>
    </row>
    <row r="3445" spans="1:8" ht="15" thickTop="1" x14ac:dyDescent="0.15">
      <c r="A3445" s="54"/>
      <c r="B3445" s="53"/>
      <c r="C3445" s="52"/>
      <c r="D3445" s="51" t="s">
        <v>1016</v>
      </c>
      <c r="E3445" s="50" t="s">
        <v>1016</v>
      </c>
      <c r="F3445" s="49" t="s">
        <v>1016</v>
      </c>
      <c r="G3445" s="49" t="s">
        <v>1016</v>
      </c>
      <c r="H3445" s="48" t="s">
        <v>1016</v>
      </c>
    </row>
    <row r="3446" spans="1:8" ht="18" customHeight="1" x14ac:dyDescent="0.15">
      <c r="A3446" s="250" t="s">
        <v>1017</v>
      </c>
      <c r="B3446" s="61" t="s">
        <v>1018</v>
      </c>
      <c r="C3446" s="62">
        <v>3677</v>
      </c>
      <c r="D3446" s="63">
        <v>633983661</v>
      </c>
      <c r="E3446" s="63">
        <v>235704802</v>
      </c>
      <c r="F3446" s="64">
        <v>198531586</v>
      </c>
      <c r="G3446" s="64">
        <v>194364737</v>
      </c>
      <c r="H3446" s="65">
        <v>5382536</v>
      </c>
    </row>
    <row r="3447" spans="1:8" ht="18" customHeight="1" x14ac:dyDescent="0.15">
      <c r="A3447" s="250"/>
      <c r="B3447" s="66" t="s">
        <v>1019</v>
      </c>
      <c r="C3447" s="67">
        <v>37</v>
      </c>
      <c r="D3447" s="68">
        <v>323088</v>
      </c>
      <c r="E3447" s="68">
        <v>95305</v>
      </c>
      <c r="F3447" s="69">
        <v>190589</v>
      </c>
      <c r="G3447" s="69">
        <v>37193</v>
      </c>
      <c r="H3447" s="70">
        <v>0</v>
      </c>
    </row>
    <row r="3448" spans="1:8" ht="13.5" x14ac:dyDescent="0.15">
      <c r="A3448" s="250"/>
      <c r="B3448" s="66" t="s">
        <v>1020</v>
      </c>
      <c r="C3448" s="67">
        <v>36</v>
      </c>
      <c r="D3448" s="68">
        <v>1465</v>
      </c>
      <c r="E3448" s="68">
        <v>1436</v>
      </c>
      <c r="F3448" s="69">
        <v>8</v>
      </c>
      <c r="G3448" s="69">
        <v>20</v>
      </c>
      <c r="H3448" s="70">
        <v>0</v>
      </c>
    </row>
    <row r="3449" spans="1:8" ht="18" customHeight="1" x14ac:dyDescent="0.15">
      <c r="A3449" s="250"/>
      <c r="B3449" s="71" t="s">
        <v>1021</v>
      </c>
      <c r="C3449" s="72">
        <v>1</v>
      </c>
      <c r="D3449" s="73">
        <v>165015</v>
      </c>
      <c r="E3449" s="73">
        <v>123877</v>
      </c>
      <c r="F3449" s="74">
        <v>8883</v>
      </c>
      <c r="G3449" s="74">
        <v>30593</v>
      </c>
      <c r="H3449" s="75">
        <v>1661</v>
      </c>
    </row>
    <row r="3450" spans="1:8" ht="18" customHeight="1" x14ac:dyDescent="0.15">
      <c r="A3450" s="250"/>
      <c r="B3450" s="66" t="s">
        <v>1022</v>
      </c>
      <c r="C3450" s="67">
        <v>62</v>
      </c>
      <c r="D3450" s="68">
        <v>11574421</v>
      </c>
      <c r="E3450" s="68">
        <v>3153584</v>
      </c>
      <c r="F3450" s="69">
        <v>2916757</v>
      </c>
      <c r="G3450" s="69">
        <v>5456110</v>
      </c>
      <c r="H3450" s="70">
        <v>47968</v>
      </c>
    </row>
    <row r="3451" spans="1:8" ht="13.5" x14ac:dyDescent="0.15">
      <c r="A3451" s="250"/>
      <c r="B3451" s="76" t="s">
        <v>1023</v>
      </c>
      <c r="C3451" s="67">
        <v>160</v>
      </c>
      <c r="D3451" s="68">
        <v>25017718</v>
      </c>
      <c r="E3451" s="68">
        <v>3062346</v>
      </c>
      <c r="F3451" s="69">
        <v>1182233</v>
      </c>
      <c r="G3451" s="69">
        <v>20721142</v>
      </c>
      <c r="H3451" s="70">
        <v>51995</v>
      </c>
    </row>
    <row r="3452" spans="1:8" ht="18" customHeight="1" x14ac:dyDescent="0.15">
      <c r="A3452" s="251"/>
      <c r="B3452" s="77" t="s">
        <v>1024</v>
      </c>
      <c r="C3452" s="72">
        <v>50</v>
      </c>
      <c r="D3452" s="73">
        <v>295904</v>
      </c>
      <c r="E3452" s="73">
        <v>274956</v>
      </c>
      <c r="F3452" s="74">
        <v>3092</v>
      </c>
      <c r="G3452" s="74">
        <v>16351</v>
      </c>
      <c r="H3452" s="75">
        <v>1504</v>
      </c>
    </row>
    <row r="3453" spans="1:8" ht="18" customHeight="1" x14ac:dyDescent="0.15">
      <c r="A3453" s="30" t="s">
        <v>1025</v>
      </c>
      <c r="B3453" s="78" t="s">
        <v>1026</v>
      </c>
      <c r="C3453" s="79">
        <v>31</v>
      </c>
      <c r="D3453" s="80">
        <v>95419</v>
      </c>
      <c r="E3453" s="80">
        <v>93458</v>
      </c>
      <c r="F3453" s="81">
        <v>1806</v>
      </c>
      <c r="G3453" s="81">
        <v>0</v>
      </c>
      <c r="H3453" s="82">
        <v>154</v>
      </c>
    </row>
    <row r="3454" spans="1:8" ht="13.5" x14ac:dyDescent="0.15">
      <c r="A3454" s="252" t="s">
        <v>1027</v>
      </c>
      <c r="B3454" s="17" t="s">
        <v>1028</v>
      </c>
      <c r="C3454" s="16">
        <v>3095</v>
      </c>
      <c r="D3454" s="83">
        <v>60268966</v>
      </c>
      <c r="E3454" s="83">
        <v>9056609</v>
      </c>
      <c r="F3454" s="84">
        <v>8641843</v>
      </c>
      <c r="G3454" s="84">
        <v>34762570</v>
      </c>
      <c r="H3454" s="85">
        <v>7807942</v>
      </c>
    </row>
    <row r="3455" spans="1:8" ht="18" customHeight="1" x14ac:dyDescent="0.15">
      <c r="A3455" s="250"/>
      <c r="B3455" s="23" t="s">
        <v>1029</v>
      </c>
      <c r="C3455" s="22">
        <v>2959</v>
      </c>
      <c r="D3455" s="86">
        <v>14129177</v>
      </c>
      <c r="E3455" s="86">
        <v>599968</v>
      </c>
      <c r="F3455" s="87">
        <v>3264491</v>
      </c>
      <c r="G3455" s="87">
        <v>8363260</v>
      </c>
      <c r="H3455" s="88">
        <v>1901457</v>
      </c>
    </row>
    <row r="3456" spans="1:8" ht="18" customHeight="1" x14ac:dyDescent="0.15">
      <c r="A3456" s="250"/>
      <c r="B3456" s="24" t="s">
        <v>1030</v>
      </c>
      <c r="C3456" s="22">
        <v>618</v>
      </c>
      <c r="D3456" s="86">
        <v>33014410</v>
      </c>
      <c r="E3456" s="86">
        <v>2059910</v>
      </c>
      <c r="F3456" s="87">
        <v>6366186</v>
      </c>
      <c r="G3456" s="87">
        <v>17912194</v>
      </c>
      <c r="H3456" s="88">
        <v>6676119</v>
      </c>
    </row>
    <row r="3457" spans="1:8" ht="18" customHeight="1" x14ac:dyDescent="0.15">
      <c r="A3457" s="250"/>
      <c r="B3457" s="23" t="s">
        <v>1031</v>
      </c>
      <c r="C3457" s="22">
        <v>1585</v>
      </c>
      <c r="D3457" s="86">
        <v>47072800</v>
      </c>
      <c r="E3457" s="86">
        <v>4206510</v>
      </c>
      <c r="F3457" s="87">
        <v>8335718</v>
      </c>
      <c r="G3457" s="87">
        <v>30602176</v>
      </c>
      <c r="H3457" s="88">
        <v>3928395</v>
      </c>
    </row>
    <row r="3458" spans="1:8" ht="18" customHeight="1" x14ac:dyDescent="0.15">
      <c r="A3458" s="250"/>
      <c r="B3458" s="23" t="s">
        <v>1032</v>
      </c>
      <c r="C3458" s="22">
        <v>245</v>
      </c>
      <c r="D3458" s="86">
        <v>4105000</v>
      </c>
      <c r="E3458" s="86">
        <v>211499</v>
      </c>
      <c r="F3458" s="87">
        <v>120246</v>
      </c>
      <c r="G3458" s="87">
        <v>3729106</v>
      </c>
      <c r="H3458" s="88">
        <v>44147</v>
      </c>
    </row>
    <row r="3459" spans="1:8" ht="18" customHeight="1" x14ac:dyDescent="0.15">
      <c r="A3459" s="250"/>
      <c r="B3459" s="23" t="s">
        <v>1033</v>
      </c>
      <c r="C3459" s="22">
        <v>113</v>
      </c>
      <c r="D3459" s="86">
        <v>1093600</v>
      </c>
      <c r="E3459" s="86">
        <v>245050</v>
      </c>
      <c r="F3459" s="87">
        <v>61000</v>
      </c>
      <c r="G3459" s="87">
        <v>508520</v>
      </c>
      <c r="H3459" s="88">
        <v>279030</v>
      </c>
    </row>
    <row r="3460" spans="1:8" ht="18" customHeight="1" x14ac:dyDescent="0.15">
      <c r="A3460" s="250"/>
      <c r="B3460" s="23" t="s">
        <v>1034</v>
      </c>
      <c r="C3460" s="22">
        <v>30</v>
      </c>
      <c r="D3460" s="86">
        <v>253821</v>
      </c>
      <c r="E3460" s="86">
        <v>120815</v>
      </c>
      <c r="F3460" s="87">
        <v>15890</v>
      </c>
      <c r="G3460" s="87">
        <v>68533</v>
      </c>
      <c r="H3460" s="88">
        <v>48583</v>
      </c>
    </row>
    <row r="3461" spans="1:8" ht="18" customHeight="1" x14ac:dyDescent="0.15">
      <c r="A3461" s="250"/>
      <c r="B3461" s="23" t="s">
        <v>1035</v>
      </c>
      <c r="C3461" s="22">
        <v>0</v>
      </c>
      <c r="D3461" s="86">
        <v>0</v>
      </c>
      <c r="E3461" s="86">
        <v>0</v>
      </c>
      <c r="F3461" s="87">
        <v>0</v>
      </c>
      <c r="G3461" s="87">
        <v>0</v>
      </c>
      <c r="H3461" s="88">
        <v>0</v>
      </c>
    </row>
    <row r="3462" spans="1:8" ht="18" customHeight="1" x14ac:dyDescent="0.15">
      <c r="A3462" s="250"/>
      <c r="B3462" s="23" t="s">
        <v>1036</v>
      </c>
      <c r="C3462" s="22">
        <v>245</v>
      </c>
      <c r="D3462" s="86">
        <v>9841040</v>
      </c>
      <c r="E3462" s="86">
        <v>896100</v>
      </c>
      <c r="F3462" s="87">
        <v>2899290</v>
      </c>
      <c r="G3462" s="87">
        <v>3643770</v>
      </c>
      <c r="H3462" s="88">
        <v>2401880</v>
      </c>
    </row>
    <row r="3463" spans="1:8" ht="18" customHeight="1" x14ac:dyDescent="0.15">
      <c r="A3463" s="250"/>
      <c r="B3463" s="23" t="s">
        <v>1037</v>
      </c>
      <c r="C3463" s="22">
        <v>3089</v>
      </c>
      <c r="D3463" s="86">
        <v>63041016</v>
      </c>
      <c r="E3463" s="86">
        <v>13497919</v>
      </c>
      <c r="F3463" s="87">
        <v>9944909</v>
      </c>
      <c r="G3463" s="87">
        <v>32956030</v>
      </c>
      <c r="H3463" s="88">
        <v>6642155</v>
      </c>
    </row>
    <row r="3464" spans="1:8" ht="13.5" x14ac:dyDescent="0.15">
      <c r="A3464" s="250"/>
      <c r="B3464" s="23" t="s">
        <v>1038</v>
      </c>
      <c r="C3464" s="22">
        <v>617</v>
      </c>
      <c r="D3464" s="86">
        <v>16057551</v>
      </c>
      <c r="E3464" s="86">
        <v>2054686</v>
      </c>
      <c r="F3464" s="87">
        <v>3355061</v>
      </c>
      <c r="G3464" s="87">
        <v>9289967</v>
      </c>
      <c r="H3464" s="88">
        <v>1357835</v>
      </c>
    </row>
    <row r="3465" spans="1:8" ht="18" customHeight="1" x14ac:dyDescent="0.15">
      <c r="A3465" s="250"/>
      <c r="B3465" s="23" t="s">
        <v>1039</v>
      </c>
      <c r="C3465" s="22">
        <v>46264</v>
      </c>
      <c r="D3465" s="86">
        <v>13004705</v>
      </c>
      <c r="E3465" s="86">
        <v>728856</v>
      </c>
      <c r="F3465" s="87">
        <v>6086755</v>
      </c>
      <c r="G3465" s="87">
        <v>5791094</v>
      </c>
      <c r="H3465" s="88">
        <v>398000</v>
      </c>
    </row>
    <row r="3466" spans="1:8" ht="18" customHeight="1" x14ac:dyDescent="0.15">
      <c r="A3466" s="250"/>
      <c r="B3466" s="23" t="s">
        <v>1040</v>
      </c>
      <c r="C3466" s="22">
        <v>681</v>
      </c>
      <c r="D3466" s="86">
        <v>2100222</v>
      </c>
      <c r="E3466" s="86">
        <v>35361</v>
      </c>
      <c r="F3466" s="87">
        <v>1509399</v>
      </c>
      <c r="G3466" s="87">
        <v>555461</v>
      </c>
      <c r="H3466" s="88">
        <v>0</v>
      </c>
    </row>
    <row r="3467" spans="1:8" ht="18" customHeight="1" x14ac:dyDescent="0.15">
      <c r="A3467" s="250"/>
      <c r="B3467" s="23" t="s">
        <v>1041</v>
      </c>
      <c r="C3467" s="22">
        <v>51</v>
      </c>
      <c r="D3467" s="86">
        <v>605600</v>
      </c>
      <c r="E3467" s="86">
        <v>178793</v>
      </c>
      <c r="F3467" s="87">
        <v>78501</v>
      </c>
      <c r="G3467" s="87">
        <v>293906</v>
      </c>
      <c r="H3467" s="88">
        <v>54400</v>
      </c>
    </row>
    <row r="3468" spans="1:8" ht="18" customHeight="1" x14ac:dyDescent="0.15">
      <c r="A3468" s="250"/>
      <c r="B3468" s="23" t="s">
        <v>1042</v>
      </c>
      <c r="C3468" s="22">
        <v>415</v>
      </c>
      <c r="D3468" s="86">
        <v>2144193</v>
      </c>
      <c r="E3468" s="86">
        <v>194388</v>
      </c>
      <c r="F3468" s="87">
        <v>1111387</v>
      </c>
      <c r="G3468" s="87">
        <v>782818</v>
      </c>
      <c r="H3468" s="88">
        <v>55600</v>
      </c>
    </row>
    <row r="3469" spans="1:8" ht="18" customHeight="1" x14ac:dyDescent="0.15">
      <c r="A3469" s="250"/>
      <c r="B3469" s="23" t="s">
        <v>1043</v>
      </c>
      <c r="C3469" s="22">
        <v>290</v>
      </c>
      <c r="D3469" s="86">
        <v>7708000</v>
      </c>
      <c r="E3469" s="86">
        <v>705050</v>
      </c>
      <c r="F3469" s="87">
        <v>1446300</v>
      </c>
      <c r="G3469" s="87">
        <v>5050000</v>
      </c>
      <c r="H3469" s="88">
        <v>506650</v>
      </c>
    </row>
    <row r="3470" spans="1:8" ht="13.5" x14ac:dyDescent="0.15">
      <c r="A3470" s="250"/>
      <c r="B3470" s="23" t="s">
        <v>1044</v>
      </c>
      <c r="C3470" s="22">
        <v>39</v>
      </c>
      <c r="D3470" s="86">
        <v>1823600</v>
      </c>
      <c r="E3470" s="86">
        <v>149800</v>
      </c>
      <c r="F3470" s="87">
        <v>620800</v>
      </c>
      <c r="G3470" s="87">
        <v>904100</v>
      </c>
      <c r="H3470" s="88">
        <v>148900</v>
      </c>
    </row>
    <row r="3471" spans="1:8" ht="18" customHeight="1" x14ac:dyDescent="0.15">
      <c r="A3471" s="250"/>
      <c r="B3471" s="23" t="s">
        <v>1045</v>
      </c>
      <c r="C3471" s="22">
        <v>0</v>
      </c>
      <c r="D3471" s="86">
        <v>0</v>
      </c>
      <c r="E3471" s="86">
        <v>0</v>
      </c>
      <c r="F3471" s="87">
        <v>0</v>
      </c>
      <c r="G3471" s="87">
        <v>0</v>
      </c>
      <c r="H3471" s="88">
        <v>0</v>
      </c>
    </row>
    <row r="3472" spans="1:8" ht="18" customHeight="1" x14ac:dyDescent="0.15">
      <c r="A3472" s="250"/>
      <c r="B3472" s="23" t="s">
        <v>1046</v>
      </c>
      <c r="C3472" s="22">
        <v>3</v>
      </c>
      <c r="D3472" s="86">
        <v>10800</v>
      </c>
      <c r="E3472" s="86">
        <v>0</v>
      </c>
      <c r="F3472" s="87">
        <v>0</v>
      </c>
      <c r="G3472" s="87">
        <v>10800</v>
      </c>
      <c r="H3472" s="88">
        <v>0</v>
      </c>
    </row>
    <row r="3473" spans="1:8" ht="18" customHeight="1" x14ac:dyDescent="0.15">
      <c r="A3473" s="250"/>
      <c r="B3473" s="23" t="s">
        <v>1047</v>
      </c>
      <c r="C3473" s="22">
        <v>1</v>
      </c>
      <c r="D3473" s="86">
        <v>3000</v>
      </c>
      <c r="E3473" s="86">
        <v>100</v>
      </c>
      <c r="F3473" s="87">
        <v>500</v>
      </c>
      <c r="G3473" s="87">
        <v>1600</v>
      </c>
      <c r="H3473" s="88">
        <v>800</v>
      </c>
    </row>
    <row r="3474" spans="1:8" ht="18" customHeight="1" x14ac:dyDescent="0.15">
      <c r="A3474" s="251"/>
      <c r="B3474" s="23" t="s">
        <v>1048</v>
      </c>
      <c r="C3474" s="22">
        <v>11</v>
      </c>
      <c r="D3474" s="86">
        <v>1621</v>
      </c>
      <c r="E3474" s="86">
        <v>466</v>
      </c>
      <c r="F3474" s="87">
        <v>0</v>
      </c>
      <c r="G3474" s="87">
        <v>1155</v>
      </c>
      <c r="H3474" s="88">
        <v>0</v>
      </c>
    </row>
    <row r="3475" spans="1:8" ht="18" customHeight="1" x14ac:dyDescent="0.15">
      <c r="A3475" s="18" t="s">
        <v>1049</v>
      </c>
      <c r="B3475" s="17" t="s">
        <v>1050</v>
      </c>
      <c r="C3475" s="16">
        <v>3366</v>
      </c>
      <c r="D3475" s="80">
        <v>16627143</v>
      </c>
      <c r="E3475" s="80">
        <v>851600</v>
      </c>
      <c r="F3475" s="81">
        <v>7209003</v>
      </c>
      <c r="G3475" s="81">
        <v>5788798</v>
      </c>
      <c r="H3475" s="82">
        <v>2777742</v>
      </c>
    </row>
    <row r="3476" spans="1:8" ht="13.5" x14ac:dyDescent="0.15">
      <c r="A3476" s="252" t="s">
        <v>1051</v>
      </c>
      <c r="B3476" s="12" t="s">
        <v>1052</v>
      </c>
      <c r="C3476" s="11">
        <v>5949</v>
      </c>
      <c r="D3476" s="89">
        <v>77245227</v>
      </c>
      <c r="E3476" s="89">
        <v>47449562</v>
      </c>
      <c r="F3476" s="90">
        <v>12552540</v>
      </c>
      <c r="G3476" s="90">
        <v>10896551</v>
      </c>
      <c r="H3476" s="91">
        <v>6346573</v>
      </c>
    </row>
    <row r="3477" spans="1:8" ht="18" customHeight="1" thickBot="1" x14ac:dyDescent="0.2">
      <c r="A3477" s="253"/>
      <c r="B3477" s="7" t="s">
        <v>1053</v>
      </c>
      <c r="C3477" s="6">
        <v>5167</v>
      </c>
      <c r="D3477" s="92" t="s">
        <v>1054</v>
      </c>
      <c r="E3477" s="92" t="s">
        <v>1005</v>
      </c>
      <c r="F3477" s="92" t="s">
        <v>1005</v>
      </c>
      <c r="G3477" s="92" t="s">
        <v>1005</v>
      </c>
      <c r="H3477" s="93" t="s">
        <v>1005</v>
      </c>
    </row>
    <row r="3478" spans="1:8" ht="18" customHeight="1" x14ac:dyDescent="0.15">
      <c r="A3478" s="3" t="s">
        <v>1055</v>
      </c>
      <c r="B3478" s="2"/>
      <c r="C3478" s="2"/>
      <c r="D3478" s="2"/>
      <c r="E3478" s="2"/>
      <c r="F3478" s="2"/>
      <c r="G3478" s="2"/>
      <c r="H3478" s="2"/>
    </row>
    <row r="3479" spans="1:8" ht="24" x14ac:dyDescent="0.15">
      <c r="A3479" s="230" t="s">
        <v>955</v>
      </c>
      <c r="B3479" s="230"/>
      <c r="C3479" s="230"/>
      <c r="D3479" s="230"/>
      <c r="E3479" s="230"/>
      <c r="F3479" s="230"/>
      <c r="G3479" s="230"/>
      <c r="H3479" s="230"/>
    </row>
    <row r="3480" spans="1:8" ht="24" customHeight="1" x14ac:dyDescent="0.15">
      <c r="A3480" s="231"/>
      <c r="B3480" s="231"/>
      <c r="C3480" s="231"/>
      <c r="D3480" s="231"/>
      <c r="E3480" s="231"/>
      <c r="F3480" s="231"/>
      <c r="G3480" s="231"/>
      <c r="H3480" s="231"/>
    </row>
    <row r="3481" spans="1:8" ht="18" customHeight="1" thickBot="1" x14ac:dyDescent="0.2">
      <c r="A3481" s="58" t="s">
        <v>956</v>
      </c>
    </row>
    <row r="3482" spans="1:8" ht="14.25" x14ac:dyDescent="0.15">
      <c r="A3482" s="232" t="s">
        <v>957</v>
      </c>
      <c r="B3482" s="235" t="s">
        <v>958</v>
      </c>
      <c r="C3482" s="238" t="s">
        <v>959</v>
      </c>
      <c r="D3482" s="241" t="s">
        <v>960</v>
      </c>
      <c r="E3482" s="57"/>
      <c r="F3482" s="56"/>
      <c r="G3482" s="56"/>
      <c r="H3482" s="55"/>
    </row>
    <row r="3483" spans="1:8" ht="18" customHeight="1" x14ac:dyDescent="0.15">
      <c r="A3483" s="233"/>
      <c r="B3483" s="236"/>
      <c r="C3483" s="239"/>
      <c r="D3483" s="242"/>
      <c r="E3483" s="244" t="s">
        <v>961</v>
      </c>
      <c r="F3483" s="246" t="s">
        <v>962</v>
      </c>
      <c r="G3483" s="246" t="s">
        <v>963</v>
      </c>
      <c r="H3483" s="248" t="s">
        <v>964</v>
      </c>
    </row>
    <row r="3484" spans="1:8" ht="18" customHeight="1" thickBot="1" x14ac:dyDescent="0.2">
      <c r="A3484" s="234"/>
      <c r="B3484" s="237"/>
      <c r="C3484" s="240"/>
      <c r="D3484" s="243"/>
      <c r="E3484" s="245"/>
      <c r="F3484" s="247"/>
      <c r="G3484" s="247"/>
      <c r="H3484" s="249"/>
    </row>
    <row r="3485" spans="1:8" ht="15" thickTop="1" x14ac:dyDescent="0.15">
      <c r="A3485" s="54"/>
      <c r="B3485" s="53"/>
      <c r="C3485" s="52"/>
      <c r="D3485" s="51" t="s">
        <v>965</v>
      </c>
      <c r="E3485" s="50" t="s">
        <v>965</v>
      </c>
      <c r="F3485" s="49" t="s">
        <v>965</v>
      </c>
      <c r="G3485" s="49" t="s">
        <v>965</v>
      </c>
      <c r="H3485" s="48" t="s">
        <v>965</v>
      </c>
    </row>
    <row r="3486" spans="1:8" ht="18" customHeight="1" x14ac:dyDescent="0.15">
      <c r="A3486" s="250" t="s">
        <v>966</v>
      </c>
      <c r="B3486" s="61" t="s">
        <v>967</v>
      </c>
      <c r="C3486" s="62">
        <v>3675</v>
      </c>
      <c r="D3486" s="63">
        <v>635066762</v>
      </c>
      <c r="E3486" s="63">
        <v>237625782</v>
      </c>
      <c r="F3486" s="64">
        <v>197532642</v>
      </c>
      <c r="G3486" s="64">
        <v>194341525</v>
      </c>
      <c r="H3486" s="65">
        <v>5566812</v>
      </c>
    </row>
    <row r="3487" spans="1:8" ht="18" customHeight="1" x14ac:dyDescent="0.15">
      <c r="A3487" s="250"/>
      <c r="B3487" s="66" t="s">
        <v>968</v>
      </c>
      <c r="C3487" s="67">
        <v>37</v>
      </c>
      <c r="D3487" s="68">
        <v>319953</v>
      </c>
      <c r="E3487" s="68">
        <v>95759</v>
      </c>
      <c r="F3487" s="69">
        <v>186993</v>
      </c>
      <c r="G3487" s="69">
        <v>37026</v>
      </c>
      <c r="H3487" s="70">
        <v>174</v>
      </c>
    </row>
    <row r="3488" spans="1:8" ht="13.5" x14ac:dyDescent="0.15">
      <c r="A3488" s="250"/>
      <c r="B3488" s="66" t="s">
        <v>969</v>
      </c>
      <c r="C3488" s="67">
        <v>37</v>
      </c>
      <c r="D3488" s="68">
        <v>0</v>
      </c>
      <c r="E3488" s="68">
        <v>0</v>
      </c>
      <c r="F3488" s="69">
        <v>0</v>
      </c>
      <c r="G3488" s="69">
        <v>0</v>
      </c>
      <c r="H3488" s="70">
        <v>0</v>
      </c>
    </row>
    <row r="3489" spans="1:8" ht="18" customHeight="1" x14ac:dyDescent="0.15">
      <c r="A3489" s="250"/>
      <c r="B3489" s="71" t="s">
        <v>970</v>
      </c>
      <c r="C3489" s="72">
        <v>1</v>
      </c>
      <c r="D3489" s="73">
        <v>164803</v>
      </c>
      <c r="E3489" s="73">
        <v>123692</v>
      </c>
      <c r="F3489" s="74">
        <v>8897</v>
      </c>
      <c r="G3489" s="74">
        <v>30554</v>
      </c>
      <c r="H3489" s="75">
        <v>1658</v>
      </c>
    </row>
    <row r="3490" spans="1:8" ht="18" customHeight="1" x14ac:dyDescent="0.15">
      <c r="A3490" s="250"/>
      <c r="B3490" s="66" t="s">
        <v>971</v>
      </c>
      <c r="C3490" s="67">
        <v>62</v>
      </c>
      <c r="D3490" s="68">
        <v>11458366</v>
      </c>
      <c r="E3490" s="68">
        <v>3130802</v>
      </c>
      <c r="F3490" s="69">
        <v>2860493</v>
      </c>
      <c r="G3490" s="69">
        <v>5421747</v>
      </c>
      <c r="H3490" s="70">
        <v>45323</v>
      </c>
    </row>
    <row r="3491" spans="1:8" ht="13.5" x14ac:dyDescent="0.15">
      <c r="A3491" s="250"/>
      <c r="B3491" s="76" t="s">
        <v>972</v>
      </c>
      <c r="C3491" s="67">
        <v>160</v>
      </c>
      <c r="D3491" s="68">
        <v>24956039</v>
      </c>
      <c r="E3491" s="68">
        <v>3236009</v>
      </c>
      <c r="F3491" s="69">
        <v>1152723</v>
      </c>
      <c r="G3491" s="69">
        <v>20510030</v>
      </c>
      <c r="H3491" s="70">
        <v>57276</v>
      </c>
    </row>
    <row r="3492" spans="1:8" ht="18" customHeight="1" x14ac:dyDescent="0.15">
      <c r="A3492" s="251"/>
      <c r="B3492" s="77" t="s">
        <v>973</v>
      </c>
      <c r="C3492" s="72">
        <v>50</v>
      </c>
      <c r="D3492" s="73">
        <v>284639</v>
      </c>
      <c r="E3492" s="73">
        <v>264582</v>
      </c>
      <c r="F3492" s="74">
        <v>2818</v>
      </c>
      <c r="G3492" s="74">
        <v>15636</v>
      </c>
      <c r="H3492" s="75">
        <v>1602</v>
      </c>
    </row>
    <row r="3493" spans="1:8" ht="18" customHeight="1" x14ac:dyDescent="0.15">
      <c r="A3493" s="30" t="s">
        <v>974</v>
      </c>
      <c r="B3493" s="78" t="s">
        <v>975</v>
      </c>
      <c r="C3493" s="79">
        <v>31</v>
      </c>
      <c r="D3493" s="80">
        <v>95941</v>
      </c>
      <c r="E3493" s="80">
        <v>93761</v>
      </c>
      <c r="F3493" s="81">
        <v>2034</v>
      </c>
      <c r="G3493" s="81">
        <v>0</v>
      </c>
      <c r="H3493" s="82">
        <v>145</v>
      </c>
    </row>
    <row r="3494" spans="1:8" ht="13.5" x14ac:dyDescent="0.15">
      <c r="A3494" s="252" t="s">
        <v>976</v>
      </c>
      <c r="B3494" s="17" t="s">
        <v>977</v>
      </c>
      <c r="C3494" s="16">
        <v>3077</v>
      </c>
      <c r="D3494" s="83">
        <v>60041728</v>
      </c>
      <c r="E3494" s="83">
        <v>9054411</v>
      </c>
      <c r="F3494" s="84">
        <v>8503189</v>
      </c>
      <c r="G3494" s="84">
        <v>34710238</v>
      </c>
      <c r="H3494" s="85">
        <v>7773889</v>
      </c>
    </row>
    <row r="3495" spans="1:8" ht="18" customHeight="1" x14ac:dyDescent="0.15">
      <c r="A3495" s="250"/>
      <c r="B3495" s="23" t="s">
        <v>978</v>
      </c>
      <c r="C3495" s="22">
        <v>2955</v>
      </c>
      <c r="D3495" s="86">
        <v>14106467</v>
      </c>
      <c r="E3495" s="86">
        <v>618631</v>
      </c>
      <c r="F3495" s="87">
        <v>3214003</v>
      </c>
      <c r="G3495" s="87">
        <v>8354013</v>
      </c>
      <c r="H3495" s="88">
        <v>1919819</v>
      </c>
    </row>
    <row r="3496" spans="1:8" ht="18" customHeight="1" x14ac:dyDescent="0.15">
      <c r="A3496" s="250"/>
      <c r="B3496" s="24" t="s">
        <v>979</v>
      </c>
      <c r="C3496" s="22">
        <v>615</v>
      </c>
      <c r="D3496" s="86">
        <v>32974410</v>
      </c>
      <c r="E3496" s="86">
        <v>2185414</v>
      </c>
      <c r="F3496" s="87">
        <v>6242237</v>
      </c>
      <c r="G3496" s="87">
        <v>17942665</v>
      </c>
      <c r="H3496" s="88">
        <v>6604093</v>
      </c>
    </row>
    <row r="3497" spans="1:8" ht="18" customHeight="1" x14ac:dyDescent="0.15">
      <c r="A3497" s="250"/>
      <c r="B3497" s="23" t="s">
        <v>980</v>
      </c>
      <c r="C3497" s="22">
        <v>1558</v>
      </c>
      <c r="D3497" s="86">
        <v>46733900</v>
      </c>
      <c r="E3497" s="86">
        <v>4109261</v>
      </c>
      <c r="F3497" s="87">
        <v>8285408</v>
      </c>
      <c r="G3497" s="87">
        <v>30445334</v>
      </c>
      <c r="H3497" s="88">
        <v>3893895</v>
      </c>
    </row>
    <row r="3498" spans="1:8" ht="18" customHeight="1" x14ac:dyDescent="0.15">
      <c r="A3498" s="250"/>
      <c r="B3498" s="23" t="s">
        <v>981</v>
      </c>
      <c r="C3498" s="22">
        <v>238</v>
      </c>
      <c r="D3498" s="86">
        <v>4107500</v>
      </c>
      <c r="E3498" s="86">
        <v>187740</v>
      </c>
      <c r="F3498" s="87">
        <v>120246</v>
      </c>
      <c r="G3498" s="87">
        <v>3758270</v>
      </c>
      <c r="H3498" s="88">
        <v>41242</v>
      </c>
    </row>
    <row r="3499" spans="1:8" ht="18" customHeight="1" x14ac:dyDescent="0.15">
      <c r="A3499" s="250"/>
      <c r="B3499" s="23" t="s">
        <v>982</v>
      </c>
      <c r="C3499" s="22">
        <v>113</v>
      </c>
      <c r="D3499" s="86">
        <v>1093600</v>
      </c>
      <c r="E3499" s="86">
        <v>244650</v>
      </c>
      <c r="F3499" s="87">
        <v>62300</v>
      </c>
      <c r="G3499" s="87">
        <v>508520</v>
      </c>
      <c r="H3499" s="88">
        <v>278130</v>
      </c>
    </row>
    <row r="3500" spans="1:8" ht="18" customHeight="1" x14ac:dyDescent="0.15">
      <c r="A3500" s="250"/>
      <c r="B3500" s="23" t="s">
        <v>983</v>
      </c>
      <c r="C3500" s="22">
        <v>30</v>
      </c>
      <c r="D3500" s="86">
        <v>253821</v>
      </c>
      <c r="E3500" s="86">
        <v>120815</v>
      </c>
      <c r="F3500" s="87">
        <v>15890</v>
      </c>
      <c r="G3500" s="87">
        <v>68533</v>
      </c>
      <c r="H3500" s="88">
        <v>48583</v>
      </c>
    </row>
    <row r="3501" spans="1:8" ht="18" customHeight="1" x14ac:dyDescent="0.15">
      <c r="A3501" s="250"/>
      <c r="B3501" s="23" t="s">
        <v>984</v>
      </c>
      <c r="C3501" s="22">
        <v>0</v>
      </c>
      <c r="D3501" s="86">
        <v>0</v>
      </c>
      <c r="E3501" s="86">
        <v>0</v>
      </c>
      <c r="F3501" s="87">
        <v>0</v>
      </c>
      <c r="G3501" s="87">
        <v>0</v>
      </c>
      <c r="H3501" s="88">
        <v>0</v>
      </c>
    </row>
    <row r="3502" spans="1:8" ht="18" customHeight="1" x14ac:dyDescent="0.15">
      <c r="A3502" s="250"/>
      <c r="B3502" s="23" t="s">
        <v>985</v>
      </c>
      <c r="C3502" s="22">
        <v>245</v>
      </c>
      <c r="D3502" s="86">
        <v>9922920</v>
      </c>
      <c r="E3502" s="86">
        <v>868650</v>
      </c>
      <c r="F3502" s="87">
        <v>2914280</v>
      </c>
      <c r="G3502" s="87">
        <v>3697220</v>
      </c>
      <c r="H3502" s="88">
        <v>2442770</v>
      </c>
    </row>
    <row r="3503" spans="1:8" ht="18" customHeight="1" x14ac:dyDescent="0.15">
      <c r="A3503" s="250"/>
      <c r="B3503" s="23" t="s">
        <v>986</v>
      </c>
      <c r="C3503" s="22">
        <v>3067</v>
      </c>
      <c r="D3503" s="86">
        <v>62749692</v>
      </c>
      <c r="E3503" s="86">
        <v>13351087</v>
      </c>
      <c r="F3503" s="87">
        <v>10065080</v>
      </c>
      <c r="G3503" s="87">
        <v>32756576</v>
      </c>
      <c r="H3503" s="88">
        <v>6576947</v>
      </c>
    </row>
    <row r="3504" spans="1:8" ht="13.5" x14ac:dyDescent="0.15">
      <c r="A3504" s="250"/>
      <c r="B3504" s="23" t="s">
        <v>987</v>
      </c>
      <c r="C3504" s="22">
        <v>619</v>
      </c>
      <c r="D3504" s="86">
        <v>16257525</v>
      </c>
      <c r="E3504" s="86">
        <v>2015542</v>
      </c>
      <c r="F3504" s="87">
        <v>3488662</v>
      </c>
      <c r="G3504" s="87">
        <v>9403668</v>
      </c>
      <c r="H3504" s="88">
        <v>1349651</v>
      </c>
    </row>
    <row r="3505" spans="1:8" ht="18" customHeight="1" x14ac:dyDescent="0.15">
      <c r="A3505" s="250"/>
      <c r="B3505" s="23" t="s">
        <v>988</v>
      </c>
      <c r="C3505" s="22">
        <v>46172</v>
      </c>
      <c r="D3505" s="86">
        <v>13771582</v>
      </c>
      <c r="E3505" s="86">
        <v>715656</v>
      </c>
      <c r="F3505" s="87">
        <v>6778916</v>
      </c>
      <c r="G3505" s="87">
        <v>5869459</v>
      </c>
      <c r="H3505" s="88">
        <v>407550</v>
      </c>
    </row>
    <row r="3506" spans="1:8" ht="18" customHeight="1" x14ac:dyDescent="0.15">
      <c r="A3506" s="250"/>
      <c r="B3506" s="23" t="s">
        <v>989</v>
      </c>
      <c r="C3506" s="22">
        <v>727</v>
      </c>
      <c r="D3506" s="86">
        <v>2775105</v>
      </c>
      <c r="E3506" s="86">
        <v>25361</v>
      </c>
      <c r="F3506" s="87">
        <v>2175258</v>
      </c>
      <c r="G3506" s="87">
        <v>574486</v>
      </c>
      <c r="H3506" s="88">
        <v>0</v>
      </c>
    </row>
    <row r="3507" spans="1:8" ht="18" customHeight="1" x14ac:dyDescent="0.15">
      <c r="A3507" s="250"/>
      <c r="B3507" s="23" t="s">
        <v>990</v>
      </c>
      <c r="C3507" s="22">
        <v>50</v>
      </c>
      <c r="D3507" s="86">
        <v>602600</v>
      </c>
      <c r="E3507" s="86">
        <v>176803</v>
      </c>
      <c r="F3507" s="87">
        <v>78501</v>
      </c>
      <c r="G3507" s="87">
        <v>291996</v>
      </c>
      <c r="H3507" s="88">
        <v>55300</v>
      </c>
    </row>
    <row r="3508" spans="1:8" ht="18" customHeight="1" x14ac:dyDescent="0.15">
      <c r="A3508" s="250"/>
      <c r="B3508" s="23" t="s">
        <v>991</v>
      </c>
      <c r="C3508" s="22">
        <v>413</v>
      </c>
      <c r="D3508" s="86">
        <v>2112539</v>
      </c>
      <c r="E3508" s="86">
        <v>193010</v>
      </c>
      <c r="F3508" s="87">
        <v>1082711</v>
      </c>
      <c r="G3508" s="87">
        <v>781218</v>
      </c>
      <c r="H3508" s="88">
        <v>55600</v>
      </c>
    </row>
    <row r="3509" spans="1:8" ht="18" customHeight="1" x14ac:dyDescent="0.15">
      <c r="A3509" s="250"/>
      <c r="B3509" s="23" t="s">
        <v>992</v>
      </c>
      <c r="C3509" s="22">
        <v>288</v>
      </c>
      <c r="D3509" s="86">
        <v>7616500</v>
      </c>
      <c r="E3509" s="86">
        <v>698550</v>
      </c>
      <c r="F3509" s="87">
        <v>1443200</v>
      </c>
      <c r="G3509" s="87">
        <v>4973300</v>
      </c>
      <c r="H3509" s="88">
        <v>501450</v>
      </c>
    </row>
    <row r="3510" spans="1:8" ht="13.5" x14ac:dyDescent="0.15">
      <c r="A3510" s="250"/>
      <c r="B3510" s="23" t="s">
        <v>993</v>
      </c>
      <c r="C3510" s="22">
        <v>39</v>
      </c>
      <c r="D3510" s="86">
        <v>1823600</v>
      </c>
      <c r="E3510" s="86">
        <v>149800</v>
      </c>
      <c r="F3510" s="87">
        <v>620800</v>
      </c>
      <c r="G3510" s="87">
        <v>904100</v>
      </c>
      <c r="H3510" s="88">
        <v>148900</v>
      </c>
    </row>
    <row r="3511" spans="1:8" ht="18" customHeight="1" x14ac:dyDescent="0.15">
      <c r="A3511" s="250"/>
      <c r="B3511" s="23" t="s">
        <v>994</v>
      </c>
      <c r="C3511" s="22">
        <v>0</v>
      </c>
      <c r="D3511" s="86">
        <v>0</v>
      </c>
      <c r="E3511" s="86">
        <v>0</v>
      </c>
      <c r="F3511" s="87">
        <v>0</v>
      </c>
      <c r="G3511" s="87">
        <v>0</v>
      </c>
      <c r="H3511" s="88">
        <v>0</v>
      </c>
    </row>
    <row r="3512" spans="1:8" ht="18" customHeight="1" x14ac:dyDescent="0.15">
      <c r="A3512" s="250"/>
      <c r="B3512" s="23" t="s">
        <v>995</v>
      </c>
      <c r="C3512" s="22">
        <v>3</v>
      </c>
      <c r="D3512" s="86">
        <v>10800</v>
      </c>
      <c r="E3512" s="86">
        <v>0</v>
      </c>
      <c r="F3512" s="87">
        <v>0</v>
      </c>
      <c r="G3512" s="87">
        <v>10800</v>
      </c>
      <c r="H3512" s="88">
        <v>0</v>
      </c>
    </row>
    <row r="3513" spans="1:8" ht="18" customHeight="1" x14ac:dyDescent="0.15">
      <c r="A3513" s="250"/>
      <c r="B3513" s="23" t="s">
        <v>996</v>
      </c>
      <c r="C3513" s="22">
        <v>1</v>
      </c>
      <c r="D3513" s="86">
        <v>3000</v>
      </c>
      <c r="E3513" s="86">
        <v>100</v>
      </c>
      <c r="F3513" s="87">
        <v>500</v>
      </c>
      <c r="G3513" s="87">
        <v>1600</v>
      </c>
      <c r="H3513" s="88">
        <v>800</v>
      </c>
    </row>
    <row r="3514" spans="1:8" ht="18" customHeight="1" x14ac:dyDescent="0.15">
      <c r="A3514" s="251"/>
      <c r="B3514" s="23" t="s">
        <v>997</v>
      </c>
      <c r="C3514" s="22">
        <v>10</v>
      </c>
      <c r="D3514" s="86">
        <v>1471</v>
      </c>
      <c r="E3514" s="86">
        <v>466</v>
      </c>
      <c r="F3514" s="87">
        <v>0</v>
      </c>
      <c r="G3514" s="87">
        <v>1005</v>
      </c>
      <c r="H3514" s="88">
        <v>0</v>
      </c>
    </row>
    <row r="3515" spans="1:8" ht="18" customHeight="1" x14ac:dyDescent="0.15">
      <c r="A3515" s="18" t="s">
        <v>998</v>
      </c>
      <c r="B3515" s="17" t="s">
        <v>999</v>
      </c>
      <c r="C3515" s="16">
        <v>3312</v>
      </c>
      <c r="D3515" s="80">
        <v>15080168</v>
      </c>
      <c r="E3515" s="80">
        <v>810400</v>
      </c>
      <c r="F3515" s="81">
        <v>6881047</v>
      </c>
      <c r="G3515" s="81">
        <v>5412418</v>
      </c>
      <c r="H3515" s="82">
        <v>1976303</v>
      </c>
    </row>
    <row r="3516" spans="1:8" ht="13.5" x14ac:dyDescent="0.15">
      <c r="A3516" s="252" t="s">
        <v>1000</v>
      </c>
      <c r="B3516" s="12" t="s">
        <v>1001</v>
      </c>
      <c r="C3516" s="11">
        <v>5927</v>
      </c>
      <c r="D3516" s="89">
        <v>76826986</v>
      </c>
      <c r="E3516" s="89">
        <v>47194132</v>
      </c>
      <c r="F3516" s="90">
        <v>12462418</v>
      </c>
      <c r="G3516" s="90">
        <v>10865248</v>
      </c>
      <c r="H3516" s="91">
        <v>6305187</v>
      </c>
    </row>
    <row r="3517" spans="1:8" ht="18" customHeight="1" thickBot="1" x14ac:dyDescent="0.2">
      <c r="A3517" s="253"/>
      <c r="B3517" s="7" t="s">
        <v>1002</v>
      </c>
      <c r="C3517" s="6">
        <v>5140</v>
      </c>
      <c r="D3517" s="92" t="s">
        <v>1003</v>
      </c>
      <c r="E3517" s="92" t="s">
        <v>1003</v>
      </c>
      <c r="F3517" s="92" t="s">
        <v>1003</v>
      </c>
      <c r="G3517" s="92" t="s">
        <v>1003</v>
      </c>
      <c r="H3517" s="93" t="s">
        <v>1003</v>
      </c>
    </row>
    <row r="3518" spans="1:8" ht="18" customHeight="1" x14ac:dyDescent="0.15">
      <c r="A3518" s="3" t="s">
        <v>1004</v>
      </c>
      <c r="B3518" s="2"/>
      <c r="C3518" s="2"/>
      <c r="D3518" s="2"/>
      <c r="E3518" s="2"/>
      <c r="F3518" s="2"/>
      <c r="G3518" s="2"/>
      <c r="H3518" s="2"/>
    </row>
    <row r="3519" spans="1:8" ht="24" x14ac:dyDescent="0.15">
      <c r="A3519" s="230" t="s">
        <v>901</v>
      </c>
      <c r="B3519" s="230"/>
      <c r="C3519" s="230"/>
      <c r="D3519" s="230"/>
      <c r="E3519" s="230"/>
      <c r="F3519" s="230"/>
      <c r="G3519" s="230"/>
      <c r="H3519" s="230"/>
    </row>
    <row r="3520" spans="1:8" ht="24" customHeight="1" x14ac:dyDescent="0.15">
      <c r="A3520" s="231"/>
      <c r="B3520" s="231"/>
      <c r="C3520" s="231"/>
      <c r="D3520" s="231"/>
      <c r="E3520" s="231"/>
      <c r="F3520" s="231"/>
      <c r="G3520" s="231"/>
      <c r="H3520" s="231"/>
    </row>
    <row r="3521" spans="1:8" ht="18" customHeight="1" thickBot="1" x14ac:dyDescent="0.2">
      <c r="A3521" s="58" t="s">
        <v>902</v>
      </c>
    </row>
    <row r="3522" spans="1:8" ht="14.25" x14ac:dyDescent="0.15">
      <c r="A3522" s="232" t="s">
        <v>903</v>
      </c>
      <c r="B3522" s="235" t="s">
        <v>904</v>
      </c>
      <c r="C3522" s="238" t="s">
        <v>905</v>
      </c>
      <c r="D3522" s="241" t="s">
        <v>906</v>
      </c>
      <c r="E3522" s="57"/>
      <c r="F3522" s="56"/>
      <c r="G3522" s="56"/>
      <c r="H3522" s="55"/>
    </row>
    <row r="3523" spans="1:8" ht="18" customHeight="1" x14ac:dyDescent="0.15">
      <c r="A3523" s="233"/>
      <c r="B3523" s="236"/>
      <c r="C3523" s="239"/>
      <c r="D3523" s="242"/>
      <c r="E3523" s="244" t="s">
        <v>907</v>
      </c>
      <c r="F3523" s="246" t="s">
        <v>908</v>
      </c>
      <c r="G3523" s="246" t="s">
        <v>909</v>
      </c>
      <c r="H3523" s="248" t="s">
        <v>910</v>
      </c>
    </row>
    <row r="3524" spans="1:8" ht="18" customHeight="1" thickBot="1" x14ac:dyDescent="0.2">
      <c r="A3524" s="234"/>
      <c r="B3524" s="237"/>
      <c r="C3524" s="240"/>
      <c r="D3524" s="243"/>
      <c r="E3524" s="245"/>
      <c r="F3524" s="247"/>
      <c r="G3524" s="247"/>
      <c r="H3524" s="249"/>
    </row>
    <row r="3525" spans="1:8" ht="15" thickTop="1" x14ac:dyDescent="0.15">
      <c r="A3525" s="54"/>
      <c r="B3525" s="53"/>
      <c r="C3525" s="52"/>
      <c r="D3525" s="51" t="s">
        <v>911</v>
      </c>
      <c r="E3525" s="50" t="s">
        <v>911</v>
      </c>
      <c r="F3525" s="49" t="s">
        <v>912</v>
      </c>
      <c r="G3525" s="49" t="s">
        <v>913</v>
      </c>
      <c r="H3525" s="48" t="s">
        <v>914</v>
      </c>
    </row>
    <row r="3526" spans="1:8" ht="18" customHeight="1" x14ac:dyDescent="0.15">
      <c r="A3526" s="250" t="s">
        <v>915</v>
      </c>
      <c r="B3526" s="61" t="s">
        <v>916</v>
      </c>
      <c r="C3526" s="62">
        <v>3670</v>
      </c>
      <c r="D3526" s="63">
        <v>613378839</v>
      </c>
      <c r="E3526" s="63">
        <v>228232009</v>
      </c>
      <c r="F3526" s="64">
        <v>191501530</v>
      </c>
      <c r="G3526" s="64">
        <v>188323389</v>
      </c>
      <c r="H3526" s="65">
        <v>5321910</v>
      </c>
    </row>
    <row r="3527" spans="1:8" ht="18" customHeight="1" x14ac:dyDescent="0.15">
      <c r="A3527" s="250"/>
      <c r="B3527" s="66" t="s">
        <v>917</v>
      </c>
      <c r="C3527" s="67">
        <v>37</v>
      </c>
      <c r="D3527" s="68">
        <v>317523</v>
      </c>
      <c r="E3527" s="68">
        <v>96492</v>
      </c>
      <c r="F3527" s="69">
        <v>182943</v>
      </c>
      <c r="G3527" s="69">
        <v>37913</v>
      </c>
      <c r="H3527" s="70">
        <v>174</v>
      </c>
    </row>
    <row r="3528" spans="1:8" ht="13.5" x14ac:dyDescent="0.15">
      <c r="A3528" s="250"/>
      <c r="B3528" s="66" t="s">
        <v>918</v>
      </c>
      <c r="C3528" s="67">
        <v>35</v>
      </c>
      <c r="D3528" s="68">
        <v>0</v>
      </c>
      <c r="E3528" s="68">
        <v>0</v>
      </c>
      <c r="F3528" s="69">
        <v>0</v>
      </c>
      <c r="G3528" s="69">
        <v>0</v>
      </c>
      <c r="H3528" s="70">
        <v>0</v>
      </c>
    </row>
    <row r="3529" spans="1:8" ht="18" customHeight="1" x14ac:dyDescent="0.15">
      <c r="A3529" s="250"/>
      <c r="B3529" s="71" t="s">
        <v>919</v>
      </c>
      <c r="C3529" s="72">
        <v>1</v>
      </c>
      <c r="D3529" s="73">
        <v>163740</v>
      </c>
      <c r="E3529" s="73">
        <v>122889</v>
      </c>
      <c r="F3529" s="74">
        <v>8846</v>
      </c>
      <c r="G3529" s="74">
        <v>30355</v>
      </c>
      <c r="H3529" s="75">
        <v>1648</v>
      </c>
    </row>
    <row r="3530" spans="1:8" ht="18" customHeight="1" x14ac:dyDescent="0.15">
      <c r="A3530" s="250"/>
      <c r="B3530" s="66" t="s">
        <v>920</v>
      </c>
      <c r="C3530" s="67">
        <v>62</v>
      </c>
      <c r="D3530" s="68">
        <v>11804091</v>
      </c>
      <c r="E3530" s="68">
        <v>3196219</v>
      </c>
      <c r="F3530" s="69">
        <v>2955579</v>
      </c>
      <c r="G3530" s="69">
        <v>5605731</v>
      </c>
      <c r="H3530" s="70">
        <v>46561</v>
      </c>
    </row>
    <row r="3531" spans="1:8" ht="13.5" x14ac:dyDescent="0.15">
      <c r="A3531" s="250"/>
      <c r="B3531" s="76" t="s">
        <v>921</v>
      </c>
      <c r="C3531" s="67">
        <v>159</v>
      </c>
      <c r="D3531" s="68">
        <v>24073415</v>
      </c>
      <c r="E3531" s="68">
        <v>3168812</v>
      </c>
      <c r="F3531" s="69">
        <v>1178588</v>
      </c>
      <c r="G3531" s="69">
        <v>19673798</v>
      </c>
      <c r="H3531" s="70">
        <v>52217</v>
      </c>
    </row>
    <row r="3532" spans="1:8" ht="18" customHeight="1" x14ac:dyDescent="0.15">
      <c r="A3532" s="251"/>
      <c r="B3532" s="77" t="s">
        <v>922</v>
      </c>
      <c r="C3532" s="72">
        <v>50</v>
      </c>
      <c r="D3532" s="73">
        <v>269995</v>
      </c>
      <c r="E3532" s="73">
        <v>247702</v>
      </c>
      <c r="F3532" s="74">
        <v>5758</v>
      </c>
      <c r="G3532" s="74">
        <v>15022</v>
      </c>
      <c r="H3532" s="75">
        <v>1512</v>
      </c>
    </row>
    <row r="3533" spans="1:8" ht="18" customHeight="1" x14ac:dyDescent="0.15">
      <c r="A3533" s="30" t="s">
        <v>923</v>
      </c>
      <c r="B3533" s="78" t="s">
        <v>924</v>
      </c>
      <c r="C3533" s="79">
        <v>32</v>
      </c>
      <c r="D3533" s="80">
        <v>95405</v>
      </c>
      <c r="E3533" s="80">
        <v>93120</v>
      </c>
      <c r="F3533" s="81">
        <v>2148</v>
      </c>
      <c r="G3533" s="81">
        <v>0</v>
      </c>
      <c r="H3533" s="82">
        <v>136</v>
      </c>
    </row>
    <row r="3534" spans="1:8" ht="13.5" x14ac:dyDescent="0.15">
      <c r="A3534" s="252" t="s">
        <v>925</v>
      </c>
      <c r="B3534" s="17" t="s">
        <v>926</v>
      </c>
      <c r="C3534" s="16">
        <v>3078</v>
      </c>
      <c r="D3534" s="83">
        <v>60083728</v>
      </c>
      <c r="E3534" s="83">
        <v>9131895</v>
      </c>
      <c r="F3534" s="84">
        <v>8422079</v>
      </c>
      <c r="G3534" s="84">
        <v>34759239</v>
      </c>
      <c r="H3534" s="85">
        <v>7770513</v>
      </c>
    </row>
    <row r="3535" spans="1:8" ht="18" customHeight="1" x14ac:dyDescent="0.15">
      <c r="A3535" s="250"/>
      <c r="B3535" s="23" t="s">
        <v>927</v>
      </c>
      <c r="C3535" s="22">
        <v>2946</v>
      </c>
      <c r="D3535" s="86">
        <v>14069430</v>
      </c>
      <c r="E3535" s="86">
        <v>648641</v>
      </c>
      <c r="F3535" s="87">
        <v>3059955</v>
      </c>
      <c r="G3535" s="87">
        <v>8448529</v>
      </c>
      <c r="H3535" s="88">
        <v>1912304</v>
      </c>
    </row>
    <row r="3536" spans="1:8" ht="18" customHeight="1" x14ac:dyDescent="0.15">
      <c r="A3536" s="250"/>
      <c r="B3536" s="24" t="s">
        <v>928</v>
      </c>
      <c r="C3536" s="22">
        <v>614</v>
      </c>
      <c r="D3536" s="86">
        <v>32939410</v>
      </c>
      <c r="E3536" s="86">
        <v>2162331</v>
      </c>
      <c r="F3536" s="87">
        <v>6140077</v>
      </c>
      <c r="G3536" s="87">
        <v>17996191</v>
      </c>
      <c r="H3536" s="88">
        <v>6640810</v>
      </c>
    </row>
    <row r="3537" spans="1:8" ht="18" customHeight="1" x14ac:dyDescent="0.15">
      <c r="A3537" s="250"/>
      <c r="B3537" s="23" t="s">
        <v>929</v>
      </c>
      <c r="C3537" s="22">
        <v>1554</v>
      </c>
      <c r="D3537" s="86">
        <v>46683300</v>
      </c>
      <c r="E3537" s="86">
        <v>4118431</v>
      </c>
      <c r="F3537" s="87">
        <v>8142508</v>
      </c>
      <c r="G3537" s="87">
        <v>30533064</v>
      </c>
      <c r="H3537" s="88">
        <v>3889295</v>
      </c>
    </row>
    <row r="3538" spans="1:8" ht="18" customHeight="1" x14ac:dyDescent="0.15">
      <c r="A3538" s="250"/>
      <c r="B3538" s="23" t="s">
        <v>930</v>
      </c>
      <c r="C3538" s="22">
        <v>232</v>
      </c>
      <c r="D3538" s="86">
        <v>4084100</v>
      </c>
      <c r="E3538" s="86">
        <v>177274</v>
      </c>
      <c r="F3538" s="87">
        <v>127481</v>
      </c>
      <c r="G3538" s="87">
        <v>3732793</v>
      </c>
      <c r="H3538" s="88">
        <v>46550</v>
      </c>
    </row>
    <row r="3539" spans="1:8" ht="18" customHeight="1" x14ac:dyDescent="0.15">
      <c r="A3539" s="250"/>
      <c r="B3539" s="23" t="s">
        <v>931</v>
      </c>
      <c r="C3539" s="22">
        <v>111</v>
      </c>
      <c r="D3539" s="86">
        <v>1080600</v>
      </c>
      <c r="E3539" s="86">
        <v>240150</v>
      </c>
      <c r="F3539" s="87">
        <v>61300</v>
      </c>
      <c r="G3539" s="87">
        <v>506120</v>
      </c>
      <c r="H3539" s="88">
        <v>273030</v>
      </c>
    </row>
    <row r="3540" spans="1:8" ht="18" customHeight="1" x14ac:dyDescent="0.15">
      <c r="A3540" s="250"/>
      <c r="B3540" s="23" t="s">
        <v>932</v>
      </c>
      <c r="C3540" s="22">
        <v>30</v>
      </c>
      <c r="D3540" s="86">
        <v>253821</v>
      </c>
      <c r="E3540" s="86">
        <v>120815</v>
      </c>
      <c r="F3540" s="87">
        <v>15890</v>
      </c>
      <c r="G3540" s="87">
        <v>68533</v>
      </c>
      <c r="H3540" s="88">
        <v>48583</v>
      </c>
    </row>
    <row r="3541" spans="1:8" ht="18" customHeight="1" x14ac:dyDescent="0.15">
      <c r="A3541" s="250"/>
      <c r="B3541" s="23" t="s">
        <v>933</v>
      </c>
      <c r="C3541" s="22">
        <v>0</v>
      </c>
      <c r="D3541" s="86">
        <v>0</v>
      </c>
      <c r="E3541" s="86">
        <v>0</v>
      </c>
      <c r="F3541" s="87">
        <v>0</v>
      </c>
      <c r="G3541" s="87">
        <v>0</v>
      </c>
      <c r="H3541" s="88">
        <v>0</v>
      </c>
    </row>
    <row r="3542" spans="1:8" ht="18" customHeight="1" x14ac:dyDescent="0.15">
      <c r="A3542" s="250"/>
      <c r="B3542" s="23" t="s">
        <v>934</v>
      </c>
      <c r="C3542" s="22">
        <v>246</v>
      </c>
      <c r="D3542" s="86">
        <v>10043140</v>
      </c>
      <c r="E3542" s="86">
        <v>875850</v>
      </c>
      <c r="F3542" s="87">
        <v>2922960</v>
      </c>
      <c r="G3542" s="87">
        <v>3746030</v>
      </c>
      <c r="H3542" s="88">
        <v>2498300</v>
      </c>
    </row>
    <row r="3543" spans="1:8" ht="18" customHeight="1" x14ac:dyDescent="0.15">
      <c r="A3543" s="250"/>
      <c r="B3543" s="23" t="s">
        <v>935</v>
      </c>
      <c r="C3543" s="22">
        <v>3046</v>
      </c>
      <c r="D3543" s="86">
        <v>62223067</v>
      </c>
      <c r="E3543" s="86">
        <v>13133766</v>
      </c>
      <c r="F3543" s="87">
        <v>10027588</v>
      </c>
      <c r="G3543" s="87">
        <v>32560534</v>
      </c>
      <c r="H3543" s="88">
        <v>6501178</v>
      </c>
    </row>
    <row r="3544" spans="1:8" ht="13.5" x14ac:dyDescent="0.15">
      <c r="A3544" s="250"/>
      <c r="B3544" s="23" t="s">
        <v>936</v>
      </c>
      <c r="C3544" s="22">
        <v>615</v>
      </c>
      <c r="D3544" s="86">
        <v>16229725</v>
      </c>
      <c r="E3544" s="86">
        <v>1964598</v>
      </c>
      <c r="F3544" s="87">
        <v>3482500</v>
      </c>
      <c r="G3544" s="87">
        <v>9450251</v>
      </c>
      <c r="H3544" s="88">
        <v>1332374</v>
      </c>
    </row>
    <row r="3545" spans="1:8" ht="18" customHeight="1" x14ac:dyDescent="0.15">
      <c r="A3545" s="250"/>
      <c r="B3545" s="23" t="s">
        <v>937</v>
      </c>
      <c r="C3545" s="22">
        <v>45943</v>
      </c>
      <c r="D3545" s="86">
        <v>14639476</v>
      </c>
      <c r="E3545" s="86">
        <v>719956</v>
      </c>
      <c r="F3545" s="87">
        <v>6819644</v>
      </c>
      <c r="G3545" s="87">
        <v>6692325</v>
      </c>
      <c r="H3545" s="88">
        <v>407550</v>
      </c>
    </row>
    <row r="3546" spans="1:8" ht="18" customHeight="1" x14ac:dyDescent="0.15">
      <c r="A3546" s="250"/>
      <c r="B3546" s="23" t="s">
        <v>938</v>
      </c>
      <c r="C3546" s="22">
        <v>816</v>
      </c>
      <c r="D3546" s="86">
        <v>3645989</v>
      </c>
      <c r="E3546" s="86">
        <v>25361</v>
      </c>
      <c r="F3546" s="87">
        <v>2178801</v>
      </c>
      <c r="G3546" s="87">
        <v>1441827</v>
      </c>
      <c r="H3546" s="88">
        <v>0</v>
      </c>
    </row>
    <row r="3547" spans="1:8" ht="18" customHeight="1" x14ac:dyDescent="0.15">
      <c r="A3547" s="250"/>
      <c r="B3547" s="23" t="s">
        <v>939</v>
      </c>
      <c r="C3547" s="22">
        <v>49</v>
      </c>
      <c r="D3547" s="86">
        <v>601000</v>
      </c>
      <c r="E3547" s="86">
        <v>175509</v>
      </c>
      <c r="F3547" s="87">
        <v>78401</v>
      </c>
      <c r="G3547" s="87">
        <v>292790</v>
      </c>
      <c r="H3547" s="88">
        <v>54300</v>
      </c>
    </row>
    <row r="3548" spans="1:8" ht="18" customHeight="1" x14ac:dyDescent="0.15">
      <c r="A3548" s="250"/>
      <c r="B3548" s="23" t="s">
        <v>940</v>
      </c>
      <c r="C3548" s="22">
        <v>412</v>
      </c>
      <c r="D3548" s="86">
        <v>2149613</v>
      </c>
      <c r="E3548" s="86">
        <v>195934</v>
      </c>
      <c r="F3548" s="87">
        <v>1092231</v>
      </c>
      <c r="G3548" s="87">
        <v>803548</v>
      </c>
      <c r="H3548" s="88">
        <v>57900</v>
      </c>
    </row>
    <row r="3549" spans="1:8" ht="18" customHeight="1" x14ac:dyDescent="0.15">
      <c r="A3549" s="250"/>
      <c r="B3549" s="23" t="s">
        <v>941</v>
      </c>
      <c r="C3549" s="22">
        <v>290</v>
      </c>
      <c r="D3549" s="86">
        <v>7740900</v>
      </c>
      <c r="E3549" s="86">
        <v>778650</v>
      </c>
      <c r="F3549" s="87">
        <v>1512000</v>
      </c>
      <c r="G3549" s="87">
        <v>4948300</v>
      </c>
      <c r="H3549" s="88">
        <v>501950</v>
      </c>
    </row>
    <row r="3550" spans="1:8" ht="13.5" x14ac:dyDescent="0.15">
      <c r="A3550" s="250"/>
      <c r="B3550" s="23" t="s">
        <v>942</v>
      </c>
      <c r="C3550" s="22">
        <v>39</v>
      </c>
      <c r="D3550" s="86">
        <v>1823600</v>
      </c>
      <c r="E3550" s="86">
        <v>150100</v>
      </c>
      <c r="F3550" s="87">
        <v>620800</v>
      </c>
      <c r="G3550" s="87">
        <v>904100</v>
      </c>
      <c r="H3550" s="88">
        <v>148600</v>
      </c>
    </row>
    <row r="3551" spans="1:8" ht="18" customHeight="1" x14ac:dyDescent="0.15">
      <c r="A3551" s="250"/>
      <c r="B3551" s="23" t="s">
        <v>943</v>
      </c>
      <c r="C3551" s="22">
        <v>0</v>
      </c>
      <c r="D3551" s="86">
        <v>0</v>
      </c>
      <c r="E3551" s="86">
        <v>0</v>
      </c>
      <c r="F3551" s="87">
        <v>0</v>
      </c>
      <c r="G3551" s="87">
        <v>0</v>
      </c>
      <c r="H3551" s="88">
        <v>0</v>
      </c>
    </row>
    <row r="3552" spans="1:8" ht="18" customHeight="1" x14ac:dyDescent="0.15">
      <c r="A3552" s="250"/>
      <c r="B3552" s="23" t="s">
        <v>944</v>
      </c>
      <c r="C3552" s="22">
        <v>3</v>
      </c>
      <c r="D3552" s="86">
        <v>10800</v>
      </c>
      <c r="E3552" s="86">
        <v>0</v>
      </c>
      <c r="F3552" s="87">
        <v>0</v>
      </c>
      <c r="G3552" s="87">
        <v>10800</v>
      </c>
      <c r="H3552" s="88">
        <v>0</v>
      </c>
    </row>
    <row r="3553" spans="1:8" ht="18" customHeight="1" x14ac:dyDescent="0.15">
      <c r="A3553" s="250"/>
      <c r="B3553" s="23" t="s">
        <v>945</v>
      </c>
      <c r="C3553" s="22">
        <v>1</v>
      </c>
      <c r="D3553" s="86">
        <v>3000</v>
      </c>
      <c r="E3553" s="86">
        <v>100</v>
      </c>
      <c r="F3553" s="87">
        <v>500</v>
      </c>
      <c r="G3553" s="87">
        <v>1600</v>
      </c>
      <c r="H3553" s="88">
        <v>800</v>
      </c>
    </row>
    <row r="3554" spans="1:8" ht="18" customHeight="1" x14ac:dyDescent="0.15">
      <c r="A3554" s="251"/>
      <c r="B3554" s="23" t="s">
        <v>946</v>
      </c>
      <c r="C3554" s="22">
        <v>11</v>
      </c>
      <c r="D3554" s="86">
        <v>3471</v>
      </c>
      <c r="E3554" s="86">
        <v>466</v>
      </c>
      <c r="F3554" s="87">
        <v>0</v>
      </c>
      <c r="G3554" s="87">
        <v>3005</v>
      </c>
      <c r="H3554" s="88">
        <v>0</v>
      </c>
    </row>
    <row r="3555" spans="1:8" ht="18" customHeight="1" x14ac:dyDescent="0.15">
      <c r="A3555" s="18" t="s">
        <v>947</v>
      </c>
      <c r="B3555" s="17" t="s">
        <v>948</v>
      </c>
      <c r="C3555" s="16">
        <v>3225</v>
      </c>
      <c r="D3555" s="80">
        <v>15424039</v>
      </c>
      <c r="E3555" s="80">
        <v>821800</v>
      </c>
      <c r="F3555" s="81">
        <v>7059729</v>
      </c>
      <c r="G3555" s="81">
        <v>5046709</v>
      </c>
      <c r="H3555" s="82">
        <v>2495801</v>
      </c>
    </row>
    <row r="3556" spans="1:8" ht="13.5" x14ac:dyDescent="0.15">
      <c r="A3556" s="252" t="s">
        <v>949</v>
      </c>
      <c r="B3556" s="12" t="s">
        <v>950</v>
      </c>
      <c r="C3556" s="11">
        <v>5918</v>
      </c>
      <c r="D3556" s="89">
        <v>75906771</v>
      </c>
      <c r="E3556" s="89">
        <v>46482337</v>
      </c>
      <c r="F3556" s="90">
        <v>12400436</v>
      </c>
      <c r="G3556" s="90">
        <v>10791931</v>
      </c>
      <c r="H3556" s="91">
        <v>6232065</v>
      </c>
    </row>
    <row r="3557" spans="1:8" ht="18" customHeight="1" thickBot="1" x14ac:dyDescent="0.2">
      <c r="A3557" s="253"/>
      <c r="B3557" s="7" t="s">
        <v>951</v>
      </c>
      <c r="C3557" s="6">
        <v>5083</v>
      </c>
      <c r="D3557" s="92" t="s">
        <v>952</v>
      </c>
      <c r="E3557" s="92" t="s">
        <v>952</v>
      </c>
      <c r="F3557" s="92" t="s">
        <v>952</v>
      </c>
      <c r="G3557" s="92" t="s">
        <v>953</v>
      </c>
      <c r="H3557" s="93" t="s">
        <v>952</v>
      </c>
    </row>
    <row r="3558" spans="1:8" ht="18" customHeight="1" x14ac:dyDescent="0.15">
      <c r="A3558" s="3" t="s">
        <v>954</v>
      </c>
      <c r="B3558" s="2"/>
      <c r="C3558" s="2"/>
      <c r="D3558" s="2"/>
      <c r="E3558" s="2"/>
      <c r="F3558" s="2"/>
      <c r="G3558" s="2"/>
      <c r="H3558" s="2"/>
    </row>
    <row r="3559" spans="1:8" ht="24" x14ac:dyDescent="0.15">
      <c r="A3559" s="230" t="s">
        <v>851</v>
      </c>
      <c r="B3559" s="230"/>
      <c r="C3559" s="230"/>
      <c r="D3559" s="230"/>
      <c r="E3559" s="230"/>
      <c r="F3559" s="230"/>
      <c r="G3559" s="230"/>
      <c r="H3559" s="230"/>
    </row>
    <row r="3560" spans="1:8" ht="24" customHeight="1" x14ac:dyDescent="0.15">
      <c r="A3560" s="231"/>
      <c r="B3560" s="231"/>
      <c r="C3560" s="231"/>
      <c r="D3560" s="231"/>
      <c r="E3560" s="231"/>
      <c r="F3560" s="231"/>
      <c r="G3560" s="231"/>
      <c r="H3560" s="231"/>
    </row>
    <row r="3561" spans="1:8" ht="18" customHeight="1" thickBot="1" x14ac:dyDescent="0.2">
      <c r="A3561" s="58" t="s">
        <v>852</v>
      </c>
    </row>
    <row r="3562" spans="1:8" ht="14.25" x14ac:dyDescent="0.15">
      <c r="A3562" s="232" t="s">
        <v>853</v>
      </c>
      <c r="B3562" s="235" t="s">
        <v>854</v>
      </c>
      <c r="C3562" s="238" t="s">
        <v>855</v>
      </c>
      <c r="D3562" s="241" t="s">
        <v>856</v>
      </c>
      <c r="E3562" s="57"/>
      <c r="F3562" s="56"/>
      <c r="G3562" s="56"/>
      <c r="H3562" s="55"/>
    </row>
    <row r="3563" spans="1:8" ht="18" customHeight="1" x14ac:dyDescent="0.15">
      <c r="A3563" s="233"/>
      <c r="B3563" s="236"/>
      <c r="C3563" s="239"/>
      <c r="D3563" s="242"/>
      <c r="E3563" s="244" t="s">
        <v>857</v>
      </c>
      <c r="F3563" s="246" t="s">
        <v>858</v>
      </c>
      <c r="G3563" s="246" t="s">
        <v>859</v>
      </c>
      <c r="H3563" s="248" t="s">
        <v>860</v>
      </c>
    </row>
    <row r="3564" spans="1:8" ht="18" customHeight="1" thickBot="1" x14ac:dyDescent="0.2">
      <c r="A3564" s="234"/>
      <c r="B3564" s="237"/>
      <c r="C3564" s="240"/>
      <c r="D3564" s="243"/>
      <c r="E3564" s="245"/>
      <c r="F3564" s="247"/>
      <c r="G3564" s="247"/>
      <c r="H3564" s="249"/>
    </row>
    <row r="3565" spans="1:8" ht="15" thickTop="1" x14ac:dyDescent="0.15">
      <c r="A3565" s="54"/>
      <c r="B3565" s="53"/>
      <c r="C3565" s="52"/>
      <c r="D3565" s="51" t="s">
        <v>861</v>
      </c>
      <c r="E3565" s="50" t="s">
        <v>861</v>
      </c>
      <c r="F3565" s="49" t="s">
        <v>861</v>
      </c>
      <c r="G3565" s="49" t="s">
        <v>861</v>
      </c>
      <c r="H3565" s="48" t="s">
        <v>861</v>
      </c>
    </row>
    <row r="3566" spans="1:8" ht="18" customHeight="1" x14ac:dyDescent="0.15">
      <c r="A3566" s="250" t="s">
        <v>862</v>
      </c>
      <c r="B3566" s="61" t="s">
        <v>863</v>
      </c>
      <c r="C3566" s="62">
        <v>3675</v>
      </c>
      <c r="D3566" s="63">
        <v>598695411</v>
      </c>
      <c r="E3566" s="63">
        <v>223378734</v>
      </c>
      <c r="F3566" s="64">
        <v>185369388</v>
      </c>
      <c r="G3566" s="64">
        <v>184430459</v>
      </c>
      <c r="H3566" s="65">
        <v>5516828</v>
      </c>
    </row>
    <row r="3567" spans="1:8" ht="18" customHeight="1" x14ac:dyDescent="0.15">
      <c r="A3567" s="250"/>
      <c r="B3567" s="66" t="s">
        <v>864</v>
      </c>
      <c r="C3567" s="67">
        <v>37</v>
      </c>
      <c r="D3567" s="68">
        <v>316154</v>
      </c>
      <c r="E3567" s="68">
        <v>97124</v>
      </c>
      <c r="F3567" s="69">
        <v>180041</v>
      </c>
      <c r="G3567" s="69">
        <v>38816</v>
      </c>
      <c r="H3567" s="70">
        <v>172</v>
      </c>
    </row>
    <row r="3568" spans="1:8" ht="13.5" x14ac:dyDescent="0.15">
      <c r="A3568" s="250"/>
      <c r="B3568" s="66" t="s">
        <v>865</v>
      </c>
      <c r="C3568" s="67">
        <v>36</v>
      </c>
      <c r="D3568" s="68">
        <v>0</v>
      </c>
      <c r="E3568" s="68">
        <v>0</v>
      </c>
      <c r="F3568" s="69">
        <v>0</v>
      </c>
      <c r="G3568" s="69">
        <v>0</v>
      </c>
      <c r="H3568" s="70">
        <v>0</v>
      </c>
    </row>
    <row r="3569" spans="1:8" ht="18" customHeight="1" x14ac:dyDescent="0.15">
      <c r="A3569" s="250"/>
      <c r="B3569" s="71" t="s">
        <v>866</v>
      </c>
      <c r="C3569" s="72">
        <v>1</v>
      </c>
      <c r="D3569" s="73">
        <v>163882</v>
      </c>
      <c r="E3569" s="73">
        <v>122991</v>
      </c>
      <c r="F3569" s="74">
        <v>8857</v>
      </c>
      <c r="G3569" s="74">
        <v>30382</v>
      </c>
      <c r="H3569" s="75">
        <v>1650</v>
      </c>
    </row>
    <row r="3570" spans="1:8" ht="18" customHeight="1" x14ac:dyDescent="0.15">
      <c r="A3570" s="250"/>
      <c r="B3570" s="66" t="s">
        <v>867</v>
      </c>
      <c r="C3570" s="67">
        <v>62</v>
      </c>
      <c r="D3570" s="68">
        <v>11677904</v>
      </c>
      <c r="E3570" s="68">
        <v>3135270</v>
      </c>
      <c r="F3570" s="69">
        <v>2953154</v>
      </c>
      <c r="G3570" s="69">
        <v>5546697</v>
      </c>
      <c r="H3570" s="70">
        <v>42782</v>
      </c>
    </row>
    <row r="3571" spans="1:8" ht="13.5" x14ac:dyDescent="0.15">
      <c r="A3571" s="250"/>
      <c r="B3571" s="76" t="s">
        <v>868</v>
      </c>
      <c r="C3571" s="67">
        <v>157</v>
      </c>
      <c r="D3571" s="68">
        <v>23577388</v>
      </c>
      <c r="E3571" s="68">
        <v>3298281</v>
      </c>
      <c r="F3571" s="69">
        <v>1241168</v>
      </c>
      <c r="G3571" s="69">
        <v>18970714</v>
      </c>
      <c r="H3571" s="70">
        <v>67223</v>
      </c>
    </row>
    <row r="3572" spans="1:8" ht="18" customHeight="1" x14ac:dyDescent="0.15">
      <c r="A3572" s="251"/>
      <c r="B3572" s="77" t="s">
        <v>869</v>
      </c>
      <c r="C3572" s="72">
        <v>50</v>
      </c>
      <c r="D3572" s="73">
        <v>264531</v>
      </c>
      <c r="E3572" s="73">
        <v>241086</v>
      </c>
      <c r="F3572" s="74">
        <v>6434</v>
      </c>
      <c r="G3572" s="74">
        <v>15021</v>
      </c>
      <c r="H3572" s="75">
        <v>1989</v>
      </c>
    </row>
    <row r="3573" spans="1:8" ht="18" customHeight="1" x14ac:dyDescent="0.15">
      <c r="A3573" s="30" t="s">
        <v>870</v>
      </c>
      <c r="B3573" s="78" t="s">
        <v>871</v>
      </c>
      <c r="C3573" s="79">
        <v>33</v>
      </c>
      <c r="D3573" s="80">
        <v>98859</v>
      </c>
      <c r="E3573" s="80">
        <v>96529</v>
      </c>
      <c r="F3573" s="81">
        <v>2143</v>
      </c>
      <c r="G3573" s="81">
        <v>0</v>
      </c>
      <c r="H3573" s="82">
        <v>186</v>
      </c>
    </row>
    <row r="3574" spans="1:8" ht="13.5" x14ac:dyDescent="0.15">
      <c r="A3574" s="252" t="s">
        <v>872</v>
      </c>
      <c r="B3574" s="17" t="s">
        <v>873</v>
      </c>
      <c r="C3574" s="16">
        <v>3066</v>
      </c>
      <c r="D3574" s="83">
        <v>59838228</v>
      </c>
      <c r="E3574" s="83">
        <v>9172999</v>
      </c>
      <c r="F3574" s="84">
        <v>8247946</v>
      </c>
      <c r="G3574" s="84">
        <v>34735300</v>
      </c>
      <c r="H3574" s="85">
        <v>7681981</v>
      </c>
    </row>
    <row r="3575" spans="1:8" ht="18" customHeight="1" x14ac:dyDescent="0.15">
      <c r="A3575" s="250"/>
      <c r="B3575" s="23" t="s">
        <v>874</v>
      </c>
      <c r="C3575" s="22">
        <v>2916</v>
      </c>
      <c r="D3575" s="86">
        <v>14024279</v>
      </c>
      <c r="E3575" s="86">
        <v>622162</v>
      </c>
      <c r="F3575" s="87">
        <v>3042453</v>
      </c>
      <c r="G3575" s="87">
        <v>8441583</v>
      </c>
      <c r="H3575" s="88">
        <v>1918079</v>
      </c>
    </row>
    <row r="3576" spans="1:8" ht="18" customHeight="1" x14ac:dyDescent="0.15">
      <c r="A3576" s="250"/>
      <c r="B3576" s="24" t="s">
        <v>875</v>
      </c>
      <c r="C3576" s="22">
        <v>614</v>
      </c>
      <c r="D3576" s="86">
        <v>33019410</v>
      </c>
      <c r="E3576" s="86">
        <v>2248520</v>
      </c>
      <c r="F3576" s="87">
        <v>5957256</v>
      </c>
      <c r="G3576" s="87">
        <v>18284720</v>
      </c>
      <c r="H3576" s="88">
        <v>6528912</v>
      </c>
    </row>
    <row r="3577" spans="1:8" ht="18" customHeight="1" x14ac:dyDescent="0.15">
      <c r="A3577" s="250"/>
      <c r="B3577" s="23" t="s">
        <v>876</v>
      </c>
      <c r="C3577" s="22">
        <v>1547</v>
      </c>
      <c r="D3577" s="86">
        <v>46377600</v>
      </c>
      <c r="E3577" s="86">
        <v>4183562</v>
      </c>
      <c r="F3577" s="87">
        <v>8046998</v>
      </c>
      <c r="G3577" s="87">
        <v>30341143</v>
      </c>
      <c r="H3577" s="88">
        <v>3805895</v>
      </c>
    </row>
    <row r="3578" spans="1:8" ht="18" customHeight="1" x14ac:dyDescent="0.15">
      <c r="A3578" s="250"/>
      <c r="B3578" s="23" t="s">
        <v>877</v>
      </c>
      <c r="C3578" s="22">
        <v>229</v>
      </c>
      <c r="D3578" s="86">
        <v>4075100</v>
      </c>
      <c r="E3578" s="86">
        <v>177874</v>
      </c>
      <c r="F3578" s="87">
        <v>127481</v>
      </c>
      <c r="G3578" s="87">
        <v>3723193</v>
      </c>
      <c r="H3578" s="88">
        <v>46550</v>
      </c>
    </row>
    <row r="3579" spans="1:8" ht="18" customHeight="1" x14ac:dyDescent="0.15">
      <c r="A3579" s="250"/>
      <c r="B3579" s="23" t="s">
        <v>878</v>
      </c>
      <c r="C3579" s="22">
        <v>111</v>
      </c>
      <c r="D3579" s="86">
        <v>1080600</v>
      </c>
      <c r="E3579" s="86">
        <v>240550</v>
      </c>
      <c r="F3579" s="87">
        <v>62500</v>
      </c>
      <c r="G3579" s="87">
        <v>506420</v>
      </c>
      <c r="H3579" s="88">
        <v>271130</v>
      </c>
    </row>
    <row r="3580" spans="1:8" ht="18" customHeight="1" x14ac:dyDescent="0.15">
      <c r="A3580" s="250"/>
      <c r="B3580" s="23" t="s">
        <v>879</v>
      </c>
      <c r="C3580" s="22">
        <v>30</v>
      </c>
      <c r="D3580" s="86">
        <v>253821</v>
      </c>
      <c r="E3580" s="86">
        <v>120938</v>
      </c>
      <c r="F3580" s="87">
        <v>15890</v>
      </c>
      <c r="G3580" s="87">
        <v>68533</v>
      </c>
      <c r="H3580" s="88">
        <v>48460</v>
      </c>
    </row>
    <row r="3581" spans="1:8" ht="18" customHeight="1" x14ac:dyDescent="0.15">
      <c r="A3581" s="250"/>
      <c r="B3581" s="23" t="s">
        <v>880</v>
      </c>
      <c r="C3581" s="22">
        <v>0</v>
      </c>
      <c r="D3581" s="86">
        <v>0</v>
      </c>
      <c r="E3581" s="86">
        <v>0</v>
      </c>
      <c r="F3581" s="87">
        <v>0</v>
      </c>
      <c r="G3581" s="87">
        <v>0</v>
      </c>
      <c r="H3581" s="88">
        <v>0</v>
      </c>
    </row>
    <row r="3582" spans="1:8" ht="18" customHeight="1" x14ac:dyDescent="0.15">
      <c r="A3582" s="250"/>
      <c r="B3582" s="23" t="s">
        <v>881</v>
      </c>
      <c r="C3582" s="22">
        <v>246</v>
      </c>
      <c r="D3582" s="86">
        <v>10129590</v>
      </c>
      <c r="E3582" s="86">
        <v>882500</v>
      </c>
      <c r="F3582" s="87">
        <v>2933260</v>
      </c>
      <c r="G3582" s="87">
        <v>3769320</v>
      </c>
      <c r="H3582" s="88">
        <v>2544510</v>
      </c>
    </row>
    <row r="3583" spans="1:8" ht="18" customHeight="1" x14ac:dyDescent="0.15">
      <c r="A3583" s="250"/>
      <c r="B3583" s="23" t="s">
        <v>882</v>
      </c>
      <c r="C3583" s="22">
        <v>3024</v>
      </c>
      <c r="D3583" s="86">
        <v>61909122</v>
      </c>
      <c r="E3583" s="86">
        <v>13318022</v>
      </c>
      <c r="F3583" s="87">
        <v>9835452</v>
      </c>
      <c r="G3583" s="87">
        <v>32485159</v>
      </c>
      <c r="H3583" s="88">
        <v>6270487</v>
      </c>
    </row>
    <row r="3584" spans="1:8" ht="13.5" x14ac:dyDescent="0.15">
      <c r="A3584" s="250"/>
      <c r="B3584" s="23" t="s">
        <v>883</v>
      </c>
      <c r="C3584" s="22">
        <v>611</v>
      </c>
      <c r="D3584" s="86">
        <v>16110725</v>
      </c>
      <c r="E3584" s="86">
        <v>1960152</v>
      </c>
      <c r="F3584" s="87">
        <v>3462942</v>
      </c>
      <c r="G3584" s="87">
        <v>9379661</v>
      </c>
      <c r="H3584" s="88">
        <v>1307968</v>
      </c>
    </row>
    <row r="3585" spans="1:8" ht="18" customHeight="1" x14ac:dyDescent="0.15">
      <c r="A3585" s="250"/>
      <c r="B3585" s="23" t="s">
        <v>884</v>
      </c>
      <c r="C3585" s="22">
        <v>45782</v>
      </c>
      <c r="D3585" s="86">
        <v>14647473</v>
      </c>
      <c r="E3585" s="86">
        <v>708126</v>
      </c>
      <c r="F3585" s="87">
        <v>6866319</v>
      </c>
      <c r="G3585" s="87">
        <v>6669847</v>
      </c>
      <c r="H3585" s="88">
        <v>403180</v>
      </c>
    </row>
    <row r="3586" spans="1:8" ht="18" customHeight="1" x14ac:dyDescent="0.15">
      <c r="A3586" s="250"/>
      <c r="B3586" s="23" t="s">
        <v>885</v>
      </c>
      <c r="C3586" s="22">
        <v>815</v>
      </c>
      <c r="D3586" s="86">
        <v>3635989</v>
      </c>
      <c r="E3586" s="86">
        <v>15361</v>
      </c>
      <c r="F3586" s="87">
        <v>2178801</v>
      </c>
      <c r="G3586" s="87">
        <v>1441827</v>
      </c>
      <c r="H3586" s="88">
        <v>0</v>
      </c>
    </row>
    <row r="3587" spans="1:8" ht="18" customHeight="1" x14ac:dyDescent="0.15">
      <c r="A3587" s="250"/>
      <c r="B3587" s="23" t="s">
        <v>886</v>
      </c>
      <c r="C3587" s="22">
        <v>48</v>
      </c>
      <c r="D3587" s="86">
        <v>609500</v>
      </c>
      <c r="E3587" s="86">
        <v>174909</v>
      </c>
      <c r="F3587" s="87">
        <v>83601</v>
      </c>
      <c r="G3587" s="87">
        <v>297090</v>
      </c>
      <c r="H3587" s="88">
        <v>53900</v>
      </c>
    </row>
    <row r="3588" spans="1:8" ht="18" customHeight="1" x14ac:dyDescent="0.15">
      <c r="A3588" s="250"/>
      <c r="B3588" s="23" t="s">
        <v>887</v>
      </c>
      <c r="C3588" s="22">
        <v>413</v>
      </c>
      <c r="D3588" s="86">
        <v>2116512</v>
      </c>
      <c r="E3588" s="86">
        <v>195402</v>
      </c>
      <c r="F3588" s="87">
        <v>1084662</v>
      </c>
      <c r="G3588" s="87">
        <v>778548</v>
      </c>
      <c r="H3588" s="88">
        <v>57900</v>
      </c>
    </row>
    <row r="3589" spans="1:8" ht="18" customHeight="1" x14ac:dyDescent="0.15">
      <c r="A3589" s="250"/>
      <c r="B3589" s="23" t="s">
        <v>888</v>
      </c>
      <c r="C3589" s="22">
        <v>296</v>
      </c>
      <c r="D3589" s="86">
        <v>7858400</v>
      </c>
      <c r="E3589" s="86">
        <v>837746</v>
      </c>
      <c r="F3589" s="87">
        <v>1537400</v>
      </c>
      <c r="G3589" s="87">
        <v>5004803</v>
      </c>
      <c r="H3589" s="88">
        <v>478450</v>
      </c>
    </row>
    <row r="3590" spans="1:8" ht="13.5" x14ac:dyDescent="0.15">
      <c r="A3590" s="250"/>
      <c r="B3590" s="23" t="s">
        <v>889</v>
      </c>
      <c r="C3590" s="22">
        <v>39</v>
      </c>
      <c r="D3590" s="86">
        <v>1823600</v>
      </c>
      <c r="E3590" s="86">
        <v>150100</v>
      </c>
      <c r="F3590" s="87">
        <v>620800</v>
      </c>
      <c r="G3590" s="87">
        <v>904100</v>
      </c>
      <c r="H3590" s="88">
        <v>148600</v>
      </c>
    </row>
    <row r="3591" spans="1:8" ht="18" customHeight="1" x14ac:dyDescent="0.15">
      <c r="A3591" s="250"/>
      <c r="B3591" s="23" t="s">
        <v>890</v>
      </c>
      <c r="C3591" s="22">
        <v>0</v>
      </c>
      <c r="D3591" s="86">
        <v>0</v>
      </c>
      <c r="E3591" s="86">
        <v>0</v>
      </c>
      <c r="F3591" s="87">
        <v>0</v>
      </c>
      <c r="G3591" s="87">
        <v>0</v>
      </c>
      <c r="H3591" s="88">
        <v>0</v>
      </c>
    </row>
    <row r="3592" spans="1:8" ht="18" customHeight="1" x14ac:dyDescent="0.15">
      <c r="A3592" s="250"/>
      <c r="B3592" s="23" t="s">
        <v>891</v>
      </c>
      <c r="C3592" s="22">
        <v>3</v>
      </c>
      <c r="D3592" s="86">
        <v>10800</v>
      </c>
      <c r="E3592" s="86">
        <v>0</v>
      </c>
      <c r="F3592" s="87">
        <v>0</v>
      </c>
      <c r="G3592" s="87">
        <v>10800</v>
      </c>
      <c r="H3592" s="88">
        <v>0</v>
      </c>
    </row>
    <row r="3593" spans="1:8" ht="18" customHeight="1" x14ac:dyDescent="0.15">
      <c r="A3593" s="250"/>
      <c r="B3593" s="23" t="s">
        <v>892</v>
      </c>
      <c r="C3593" s="22">
        <v>1</v>
      </c>
      <c r="D3593" s="86">
        <v>3000</v>
      </c>
      <c r="E3593" s="86">
        <v>100</v>
      </c>
      <c r="F3593" s="87">
        <v>500</v>
      </c>
      <c r="G3593" s="87">
        <v>1600</v>
      </c>
      <c r="H3593" s="88">
        <v>800</v>
      </c>
    </row>
    <row r="3594" spans="1:8" ht="18" customHeight="1" x14ac:dyDescent="0.15">
      <c r="A3594" s="251"/>
      <c r="B3594" s="23" t="s">
        <v>893</v>
      </c>
      <c r="C3594" s="22">
        <v>11</v>
      </c>
      <c r="D3594" s="86">
        <v>3471</v>
      </c>
      <c r="E3594" s="86">
        <v>466</v>
      </c>
      <c r="F3594" s="87">
        <v>0</v>
      </c>
      <c r="G3594" s="87">
        <v>3005</v>
      </c>
      <c r="H3594" s="88">
        <v>0</v>
      </c>
    </row>
    <row r="3595" spans="1:8" ht="18" customHeight="1" x14ac:dyDescent="0.15">
      <c r="A3595" s="18" t="s">
        <v>894</v>
      </c>
      <c r="B3595" s="17" t="s">
        <v>895</v>
      </c>
      <c r="C3595" s="16">
        <v>3336</v>
      </c>
      <c r="D3595" s="80">
        <v>14825417</v>
      </c>
      <c r="E3595" s="80">
        <v>813700</v>
      </c>
      <c r="F3595" s="81">
        <v>6889640</v>
      </c>
      <c r="G3595" s="81">
        <v>5047793</v>
      </c>
      <c r="H3595" s="82">
        <v>2074284</v>
      </c>
    </row>
    <row r="3596" spans="1:8" ht="13.5" x14ac:dyDescent="0.15">
      <c r="A3596" s="252" t="s">
        <v>896</v>
      </c>
      <c r="B3596" s="12" t="s">
        <v>897</v>
      </c>
      <c r="C3596" s="11">
        <v>5925</v>
      </c>
      <c r="D3596" s="89">
        <v>75530294</v>
      </c>
      <c r="E3596" s="89">
        <v>46005325</v>
      </c>
      <c r="F3596" s="90">
        <v>12473898</v>
      </c>
      <c r="G3596" s="90">
        <v>10842568</v>
      </c>
      <c r="H3596" s="91">
        <v>6208502</v>
      </c>
    </row>
    <row r="3597" spans="1:8" ht="18" customHeight="1" thickBot="1" x14ac:dyDescent="0.2">
      <c r="A3597" s="253"/>
      <c r="B3597" s="7" t="s">
        <v>898</v>
      </c>
      <c r="C3597" s="6">
        <v>5061</v>
      </c>
      <c r="D3597" s="92" t="s">
        <v>899</v>
      </c>
      <c r="E3597" s="92" t="s">
        <v>54</v>
      </c>
      <c r="F3597" s="92" t="s">
        <v>54</v>
      </c>
      <c r="G3597" s="92" t="s">
        <v>54</v>
      </c>
      <c r="H3597" s="93" t="s">
        <v>54</v>
      </c>
    </row>
    <row r="3598" spans="1:8" ht="18" customHeight="1" x14ac:dyDescent="0.15">
      <c r="A3598" s="3" t="s">
        <v>900</v>
      </c>
      <c r="B3598" s="2"/>
      <c r="C3598" s="2"/>
      <c r="D3598" s="2"/>
      <c r="E3598" s="2"/>
      <c r="F3598" s="2"/>
      <c r="G3598" s="2"/>
      <c r="H3598" s="2"/>
    </row>
    <row r="3599" spans="1:8" ht="24" x14ac:dyDescent="0.15">
      <c r="A3599" s="230" t="s">
        <v>801</v>
      </c>
      <c r="B3599" s="230"/>
      <c r="C3599" s="230"/>
      <c r="D3599" s="230"/>
      <c r="E3599" s="230"/>
      <c r="F3599" s="230"/>
      <c r="G3599" s="230"/>
      <c r="H3599" s="230"/>
    </row>
    <row r="3600" spans="1:8" ht="24" customHeight="1" x14ac:dyDescent="0.15">
      <c r="A3600" s="231"/>
      <c r="B3600" s="231"/>
      <c r="C3600" s="231"/>
      <c r="D3600" s="231"/>
      <c r="E3600" s="231"/>
      <c r="F3600" s="231"/>
      <c r="G3600" s="231"/>
      <c r="H3600" s="231"/>
    </row>
    <row r="3601" spans="1:8" ht="18" customHeight="1" thickBot="1" x14ac:dyDescent="0.2">
      <c r="A3601" s="58" t="s">
        <v>802</v>
      </c>
    </row>
    <row r="3602" spans="1:8" ht="14.25" x14ac:dyDescent="0.15">
      <c r="A3602" s="232" t="s">
        <v>803</v>
      </c>
      <c r="B3602" s="235" t="s">
        <v>804</v>
      </c>
      <c r="C3602" s="238" t="s">
        <v>805</v>
      </c>
      <c r="D3602" s="241" t="s">
        <v>806</v>
      </c>
      <c r="E3602" s="57"/>
      <c r="F3602" s="56"/>
      <c r="G3602" s="56"/>
      <c r="H3602" s="55"/>
    </row>
    <row r="3603" spans="1:8" ht="18" customHeight="1" x14ac:dyDescent="0.15">
      <c r="A3603" s="233"/>
      <c r="B3603" s="236"/>
      <c r="C3603" s="239"/>
      <c r="D3603" s="242"/>
      <c r="E3603" s="244" t="s">
        <v>807</v>
      </c>
      <c r="F3603" s="246" t="s">
        <v>808</v>
      </c>
      <c r="G3603" s="246" t="s">
        <v>809</v>
      </c>
      <c r="H3603" s="248" t="s">
        <v>810</v>
      </c>
    </row>
    <row r="3604" spans="1:8" ht="18" customHeight="1" thickBot="1" x14ac:dyDescent="0.2">
      <c r="A3604" s="234"/>
      <c r="B3604" s="237"/>
      <c r="C3604" s="240"/>
      <c r="D3604" s="243"/>
      <c r="E3604" s="245"/>
      <c r="F3604" s="247"/>
      <c r="G3604" s="247"/>
      <c r="H3604" s="249"/>
    </row>
    <row r="3605" spans="1:8" ht="15" thickTop="1" x14ac:dyDescent="0.15">
      <c r="A3605" s="54"/>
      <c r="B3605" s="53"/>
      <c r="C3605" s="52"/>
      <c r="D3605" s="51" t="s">
        <v>811</v>
      </c>
      <c r="E3605" s="50" t="s">
        <v>811</v>
      </c>
      <c r="F3605" s="49" t="s">
        <v>811</v>
      </c>
      <c r="G3605" s="49" t="s">
        <v>811</v>
      </c>
      <c r="H3605" s="48" t="s">
        <v>811</v>
      </c>
    </row>
    <row r="3606" spans="1:8" ht="18" customHeight="1" x14ac:dyDescent="0.15">
      <c r="A3606" s="250" t="s">
        <v>812</v>
      </c>
      <c r="B3606" s="61" t="s">
        <v>813</v>
      </c>
      <c r="C3606" s="62">
        <v>3672</v>
      </c>
      <c r="D3606" s="63">
        <v>590630467</v>
      </c>
      <c r="E3606" s="63">
        <v>226534386</v>
      </c>
      <c r="F3606" s="64">
        <v>175742721</v>
      </c>
      <c r="G3606" s="64">
        <v>182692720</v>
      </c>
      <c r="H3606" s="65">
        <v>5660639</v>
      </c>
    </row>
    <row r="3607" spans="1:8" ht="18" customHeight="1" x14ac:dyDescent="0.15">
      <c r="A3607" s="250"/>
      <c r="B3607" s="66" t="s">
        <v>814</v>
      </c>
      <c r="C3607" s="67">
        <v>37</v>
      </c>
      <c r="D3607" s="68">
        <v>316274</v>
      </c>
      <c r="E3607" s="68">
        <v>100205</v>
      </c>
      <c r="F3607" s="69">
        <v>179180</v>
      </c>
      <c r="G3607" s="69">
        <v>36715</v>
      </c>
      <c r="H3607" s="70">
        <v>172</v>
      </c>
    </row>
    <row r="3608" spans="1:8" ht="13.5" x14ac:dyDescent="0.15">
      <c r="A3608" s="250"/>
      <c r="B3608" s="66" t="s">
        <v>815</v>
      </c>
      <c r="C3608" s="67">
        <v>34</v>
      </c>
      <c r="D3608" s="68">
        <v>0</v>
      </c>
      <c r="E3608" s="68">
        <v>0</v>
      </c>
      <c r="F3608" s="69">
        <v>0</v>
      </c>
      <c r="G3608" s="69">
        <v>0</v>
      </c>
      <c r="H3608" s="70">
        <v>0</v>
      </c>
    </row>
    <row r="3609" spans="1:8" ht="18" customHeight="1" x14ac:dyDescent="0.15">
      <c r="A3609" s="250"/>
      <c r="B3609" s="71" t="s">
        <v>816</v>
      </c>
      <c r="C3609" s="72">
        <v>1</v>
      </c>
      <c r="D3609" s="73">
        <v>166148</v>
      </c>
      <c r="E3609" s="73">
        <v>124393</v>
      </c>
      <c r="F3609" s="74">
        <v>9424</v>
      </c>
      <c r="G3609" s="74">
        <v>30648</v>
      </c>
      <c r="H3609" s="75">
        <v>1682</v>
      </c>
    </row>
    <row r="3610" spans="1:8" ht="18" customHeight="1" x14ac:dyDescent="0.15">
      <c r="A3610" s="250"/>
      <c r="B3610" s="66" t="s">
        <v>817</v>
      </c>
      <c r="C3610" s="67">
        <v>62</v>
      </c>
      <c r="D3610" s="68">
        <v>11923760</v>
      </c>
      <c r="E3610" s="68">
        <v>3207905</v>
      </c>
      <c r="F3610" s="69">
        <v>3007427</v>
      </c>
      <c r="G3610" s="69">
        <v>5668447</v>
      </c>
      <c r="H3610" s="70">
        <v>39979</v>
      </c>
    </row>
    <row r="3611" spans="1:8" ht="13.5" x14ac:dyDescent="0.15">
      <c r="A3611" s="250"/>
      <c r="B3611" s="76" t="s">
        <v>818</v>
      </c>
      <c r="C3611" s="67">
        <v>156</v>
      </c>
      <c r="D3611" s="68">
        <v>23373389</v>
      </c>
      <c r="E3611" s="68">
        <v>3339066</v>
      </c>
      <c r="F3611" s="69">
        <v>1827140</v>
      </c>
      <c r="G3611" s="69">
        <v>18159430</v>
      </c>
      <c r="H3611" s="70">
        <v>47752</v>
      </c>
    </row>
    <row r="3612" spans="1:8" ht="18" customHeight="1" x14ac:dyDescent="0.15">
      <c r="A3612" s="251"/>
      <c r="B3612" s="77" t="s">
        <v>819</v>
      </c>
      <c r="C3612" s="72">
        <v>50</v>
      </c>
      <c r="D3612" s="73">
        <v>262403</v>
      </c>
      <c r="E3612" s="73">
        <v>240694</v>
      </c>
      <c r="F3612" s="74">
        <v>5168</v>
      </c>
      <c r="G3612" s="74">
        <v>14394</v>
      </c>
      <c r="H3612" s="75">
        <v>2146</v>
      </c>
    </row>
    <row r="3613" spans="1:8" ht="18" customHeight="1" x14ac:dyDescent="0.15">
      <c r="A3613" s="30" t="s">
        <v>820</v>
      </c>
      <c r="B3613" s="78" t="s">
        <v>821</v>
      </c>
      <c r="C3613" s="79">
        <v>33</v>
      </c>
      <c r="D3613" s="80">
        <v>98461</v>
      </c>
      <c r="E3613" s="80">
        <v>95945</v>
      </c>
      <c r="F3613" s="81">
        <v>2276</v>
      </c>
      <c r="G3613" s="81">
        <v>0</v>
      </c>
      <c r="H3613" s="82">
        <v>239</v>
      </c>
    </row>
    <row r="3614" spans="1:8" ht="13.5" x14ac:dyDescent="0.15">
      <c r="A3614" s="252" t="s">
        <v>822</v>
      </c>
      <c r="B3614" s="17" t="s">
        <v>823</v>
      </c>
      <c r="C3614" s="16">
        <v>3054</v>
      </c>
      <c r="D3614" s="83">
        <v>59582628</v>
      </c>
      <c r="E3614" s="83">
        <v>8984602</v>
      </c>
      <c r="F3614" s="84">
        <v>8175651</v>
      </c>
      <c r="G3614" s="84">
        <v>34706143</v>
      </c>
      <c r="H3614" s="85">
        <v>7716231</v>
      </c>
    </row>
    <row r="3615" spans="1:8" ht="18" customHeight="1" x14ac:dyDescent="0.15">
      <c r="A3615" s="250"/>
      <c r="B3615" s="23" t="s">
        <v>824</v>
      </c>
      <c r="C3615" s="22">
        <v>2926</v>
      </c>
      <c r="D3615" s="86">
        <v>14080210</v>
      </c>
      <c r="E3615" s="86">
        <v>664237</v>
      </c>
      <c r="F3615" s="87">
        <v>3077208</v>
      </c>
      <c r="G3615" s="87">
        <v>8400042</v>
      </c>
      <c r="H3615" s="88">
        <v>1938721</v>
      </c>
    </row>
    <row r="3616" spans="1:8" ht="18" customHeight="1" x14ac:dyDescent="0.15">
      <c r="A3616" s="250"/>
      <c r="B3616" s="24" t="s">
        <v>825</v>
      </c>
      <c r="C3616" s="22">
        <v>613</v>
      </c>
      <c r="D3616" s="86">
        <v>33144410</v>
      </c>
      <c r="E3616" s="86">
        <v>2186941</v>
      </c>
      <c r="F3616" s="87">
        <v>6024280</v>
      </c>
      <c r="G3616" s="87">
        <v>18325083</v>
      </c>
      <c r="H3616" s="88">
        <v>6608104</v>
      </c>
    </row>
    <row r="3617" spans="1:8" ht="18" customHeight="1" x14ac:dyDescent="0.15">
      <c r="A3617" s="250"/>
      <c r="B3617" s="23" t="s">
        <v>826</v>
      </c>
      <c r="C3617" s="22">
        <v>1520</v>
      </c>
      <c r="D3617" s="86">
        <v>45821800</v>
      </c>
      <c r="E3617" s="86">
        <v>4057009</v>
      </c>
      <c r="F3617" s="87">
        <v>8043418</v>
      </c>
      <c r="G3617" s="87">
        <v>29996146</v>
      </c>
      <c r="H3617" s="88">
        <v>3725225</v>
      </c>
    </row>
    <row r="3618" spans="1:8" ht="18" customHeight="1" x14ac:dyDescent="0.15">
      <c r="A3618" s="250"/>
      <c r="B3618" s="23" t="s">
        <v>827</v>
      </c>
      <c r="C3618" s="22">
        <v>223</v>
      </c>
      <c r="D3618" s="86">
        <v>4010600</v>
      </c>
      <c r="E3618" s="86">
        <v>166849</v>
      </c>
      <c r="F3618" s="87">
        <v>127481</v>
      </c>
      <c r="G3618" s="87">
        <v>3669718</v>
      </c>
      <c r="H3618" s="88">
        <v>46550</v>
      </c>
    </row>
    <row r="3619" spans="1:8" ht="18" customHeight="1" x14ac:dyDescent="0.15">
      <c r="A3619" s="250"/>
      <c r="B3619" s="23" t="s">
        <v>828</v>
      </c>
      <c r="C3619" s="22">
        <v>111</v>
      </c>
      <c r="D3619" s="86">
        <v>1080600</v>
      </c>
      <c r="E3619" s="86">
        <v>240800</v>
      </c>
      <c r="F3619" s="87">
        <v>60500</v>
      </c>
      <c r="G3619" s="87">
        <v>507220</v>
      </c>
      <c r="H3619" s="88">
        <v>272080</v>
      </c>
    </row>
    <row r="3620" spans="1:8" ht="18" customHeight="1" x14ac:dyDescent="0.15">
      <c r="A3620" s="250"/>
      <c r="B3620" s="23" t="s">
        <v>829</v>
      </c>
      <c r="C3620" s="22">
        <v>30</v>
      </c>
      <c r="D3620" s="86">
        <v>253821</v>
      </c>
      <c r="E3620" s="86">
        <v>120815</v>
      </c>
      <c r="F3620" s="87">
        <v>15890</v>
      </c>
      <c r="G3620" s="87">
        <v>68656</v>
      </c>
      <c r="H3620" s="88">
        <v>48460</v>
      </c>
    </row>
    <row r="3621" spans="1:8" ht="18" customHeight="1" x14ac:dyDescent="0.15">
      <c r="A3621" s="250"/>
      <c r="B3621" s="23" t="s">
        <v>830</v>
      </c>
      <c r="C3621" s="22">
        <v>0</v>
      </c>
      <c r="D3621" s="86">
        <v>0</v>
      </c>
      <c r="E3621" s="86">
        <v>0</v>
      </c>
      <c r="F3621" s="87">
        <v>0</v>
      </c>
      <c r="G3621" s="87">
        <v>0</v>
      </c>
      <c r="H3621" s="88">
        <v>0</v>
      </c>
    </row>
    <row r="3622" spans="1:8" ht="18" customHeight="1" x14ac:dyDescent="0.15">
      <c r="A3622" s="250"/>
      <c r="B3622" s="23" t="s">
        <v>831</v>
      </c>
      <c r="C3622" s="22">
        <v>246</v>
      </c>
      <c r="D3622" s="86">
        <v>10183910</v>
      </c>
      <c r="E3622" s="86">
        <v>838890</v>
      </c>
      <c r="F3622" s="87">
        <v>2967360</v>
      </c>
      <c r="G3622" s="87">
        <v>3741700</v>
      </c>
      <c r="H3622" s="88">
        <v>2635960</v>
      </c>
    </row>
    <row r="3623" spans="1:8" ht="18" customHeight="1" x14ac:dyDescent="0.15">
      <c r="A3623" s="250"/>
      <c r="B3623" s="23" t="s">
        <v>832</v>
      </c>
      <c r="C3623" s="22">
        <v>3016</v>
      </c>
      <c r="D3623" s="86">
        <v>61918940</v>
      </c>
      <c r="E3623" s="86">
        <v>13287480</v>
      </c>
      <c r="F3623" s="87">
        <v>9781529</v>
      </c>
      <c r="G3623" s="87">
        <v>32572283</v>
      </c>
      <c r="H3623" s="88">
        <v>6277646</v>
      </c>
    </row>
    <row r="3624" spans="1:8" ht="13.5" x14ac:dyDescent="0.15">
      <c r="A3624" s="250"/>
      <c r="B3624" s="23" t="s">
        <v>833</v>
      </c>
      <c r="C3624" s="22">
        <v>607</v>
      </c>
      <c r="D3624" s="86">
        <v>16068425</v>
      </c>
      <c r="E3624" s="86">
        <v>1876219</v>
      </c>
      <c r="F3624" s="87">
        <v>3423790</v>
      </c>
      <c r="G3624" s="87">
        <v>9472636</v>
      </c>
      <c r="H3624" s="88">
        <v>1295778</v>
      </c>
    </row>
    <row r="3625" spans="1:8" ht="18" customHeight="1" x14ac:dyDescent="0.15">
      <c r="A3625" s="250"/>
      <c r="B3625" s="23" t="s">
        <v>834</v>
      </c>
      <c r="C3625" s="22">
        <v>45711</v>
      </c>
      <c r="D3625" s="86">
        <v>14549250</v>
      </c>
      <c r="E3625" s="86">
        <v>672126</v>
      </c>
      <c r="F3625" s="87">
        <v>6869804</v>
      </c>
      <c r="G3625" s="87">
        <v>6614539</v>
      </c>
      <c r="H3625" s="88">
        <v>392780</v>
      </c>
    </row>
    <row r="3626" spans="1:8" ht="18" customHeight="1" x14ac:dyDescent="0.15">
      <c r="A3626" s="250"/>
      <c r="B3626" s="23" t="s">
        <v>835</v>
      </c>
      <c r="C3626" s="22">
        <v>814</v>
      </c>
      <c r="D3626" s="86">
        <v>3629976</v>
      </c>
      <c r="E3626" s="86">
        <v>15361</v>
      </c>
      <c r="F3626" s="87">
        <v>2176003</v>
      </c>
      <c r="G3626" s="87">
        <v>1438612</v>
      </c>
      <c r="H3626" s="88">
        <v>0</v>
      </c>
    </row>
    <row r="3627" spans="1:8" ht="18" customHeight="1" x14ac:dyDescent="0.15">
      <c r="A3627" s="250"/>
      <c r="B3627" s="23" t="s">
        <v>836</v>
      </c>
      <c r="C3627" s="22">
        <v>48</v>
      </c>
      <c r="D3627" s="86">
        <v>609500</v>
      </c>
      <c r="E3627" s="86">
        <v>173010</v>
      </c>
      <c r="F3627" s="87">
        <v>83501</v>
      </c>
      <c r="G3627" s="87">
        <v>299189</v>
      </c>
      <c r="H3627" s="88">
        <v>53800</v>
      </c>
    </row>
    <row r="3628" spans="1:8" ht="18" customHeight="1" x14ac:dyDescent="0.15">
      <c r="A3628" s="250"/>
      <c r="B3628" s="23" t="s">
        <v>837</v>
      </c>
      <c r="C3628" s="22">
        <v>412</v>
      </c>
      <c r="D3628" s="86">
        <v>2133558</v>
      </c>
      <c r="E3628" s="86">
        <v>182934</v>
      </c>
      <c r="F3628" s="87">
        <v>1097456</v>
      </c>
      <c r="G3628" s="87">
        <v>786268</v>
      </c>
      <c r="H3628" s="88">
        <v>66900</v>
      </c>
    </row>
    <row r="3629" spans="1:8" ht="18" customHeight="1" x14ac:dyDescent="0.15">
      <c r="A3629" s="250"/>
      <c r="B3629" s="23" t="s">
        <v>838</v>
      </c>
      <c r="C3629" s="22">
        <v>296</v>
      </c>
      <c r="D3629" s="86">
        <v>7858400</v>
      </c>
      <c r="E3629" s="86">
        <v>834446</v>
      </c>
      <c r="F3629" s="87">
        <v>1533500</v>
      </c>
      <c r="G3629" s="87">
        <v>5012103</v>
      </c>
      <c r="H3629" s="88">
        <v>478350</v>
      </c>
    </row>
    <row r="3630" spans="1:8" ht="13.5" x14ac:dyDescent="0.15">
      <c r="A3630" s="250"/>
      <c r="B3630" s="23" t="s">
        <v>839</v>
      </c>
      <c r="C3630" s="22">
        <v>41</v>
      </c>
      <c r="D3630" s="86">
        <v>1832200</v>
      </c>
      <c r="E3630" s="86">
        <v>153600</v>
      </c>
      <c r="F3630" s="87">
        <v>621800</v>
      </c>
      <c r="G3630" s="87">
        <v>907700</v>
      </c>
      <c r="H3630" s="88">
        <v>149100</v>
      </c>
    </row>
    <row r="3631" spans="1:8" ht="18" customHeight="1" x14ac:dyDescent="0.15">
      <c r="A3631" s="250"/>
      <c r="B3631" s="23" t="s">
        <v>840</v>
      </c>
      <c r="C3631" s="22">
        <v>0</v>
      </c>
      <c r="D3631" s="86">
        <v>0</v>
      </c>
      <c r="E3631" s="86">
        <v>0</v>
      </c>
      <c r="F3631" s="87">
        <v>0</v>
      </c>
      <c r="G3631" s="87">
        <v>0</v>
      </c>
      <c r="H3631" s="88">
        <v>0</v>
      </c>
    </row>
    <row r="3632" spans="1:8" ht="18" customHeight="1" x14ac:dyDescent="0.15">
      <c r="A3632" s="250"/>
      <c r="B3632" s="23" t="s">
        <v>841</v>
      </c>
      <c r="C3632" s="22">
        <v>4</v>
      </c>
      <c r="D3632" s="86">
        <v>81100</v>
      </c>
      <c r="E3632" s="86">
        <v>0</v>
      </c>
      <c r="F3632" s="87">
        <v>8700</v>
      </c>
      <c r="G3632" s="87">
        <v>72400</v>
      </c>
      <c r="H3632" s="88">
        <v>0</v>
      </c>
    </row>
    <row r="3633" spans="1:8" ht="18" customHeight="1" x14ac:dyDescent="0.15">
      <c r="A3633" s="250"/>
      <c r="B3633" s="23" t="s">
        <v>842</v>
      </c>
      <c r="C3633" s="22">
        <v>1</v>
      </c>
      <c r="D3633" s="86">
        <v>3000</v>
      </c>
      <c r="E3633" s="86">
        <v>100</v>
      </c>
      <c r="F3633" s="87">
        <v>500</v>
      </c>
      <c r="G3633" s="87">
        <v>1600</v>
      </c>
      <c r="H3633" s="88">
        <v>800</v>
      </c>
    </row>
    <row r="3634" spans="1:8" ht="18" customHeight="1" x14ac:dyDescent="0.15">
      <c r="A3634" s="251"/>
      <c r="B3634" s="23" t="s">
        <v>843</v>
      </c>
      <c r="C3634" s="22">
        <v>11</v>
      </c>
      <c r="D3634" s="86">
        <v>3471</v>
      </c>
      <c r="E3634" s="86">
        <v>466</v>
      </c>
      <c r="F3634" s="87">
        <v>0</v>
      </c>
      <c r="G3634" s="87">
        <v>3005</v>
      </c>
      <c r="H3634" s="88">
        <v>0</v>
      </c>
    </row>
    <row r="3635" spans="1:8" ht="18" customHeight="1" x14ac:dyDescent="0.15">
      <c r="A3635" s="18" t="s">
        <v>844</v>
      </c>
      <c r="B3635" s="17" t="s">
        <v>845</v>
      </c>
      <c r="C3635" s="16">
        <v>3242</v>
      </c>
      <c r="D3635" s="80">
        <v>13096133</v>
      </c>
      <c r="E3635" s="80">
        <v>757900</v>
      </c>
      <c r="F3635" s="81">
        <v>5918423</v>
      </c>
      <c r="G3635" s="81">
        <v>4778150</v>
      </c>
      <c r="H3635" s="82">
        <v>1641660</v>
      </c>
    </row>
    <row r="3636" spans="1:8" ht="13.5" x14ac:dyDescent="0.15">
      <c r="A3636" s="252" t="s">
        <v>846</v>
      </c>
      <c r="B3636" s="12" t="s">
        <v>847</v>
      </c>
      <c r="C3636" s="11">
        <v>5931</v>
      </c>
      <c r="D3636" s="89">
        <v>75593499</v>
      </c>
      <c r="E3636" s="89">
        <v>46046100</v>
      </c>
      <c r="F3636" s="90">
        <v>12466217</v>
      </c>
      <c r="G3636" s="90">
        <v>10861934</v>
      </c>
      <c r="H3636" s="91">
        <v>6219246</v>
      </c>
    </row>
    <row r="3637" spans="1:8" ht="18" customHeight="1" thickBot="1" x14ac:dyDescent="0.2">
      <c r="A3637" s="253"/>
      <c r="B3637" s="7" t="s">
        <v>848</v>
      </c>
      <c r="C3637" s="6">
        <v>5011</v>
      </c>
      <c r="D3637" s="92" t="s">
        <v>849</v>
      </c>
      <c r="E3637" s="92" t="s">
        <v>849</v>
      </c>
      <c r="F3637" s="92" t="s">
        <v>54</v>
      </c>
      <c r="G3637" s="92" t="s">
        <v>54</v>
      </c>
      <c r="H3637" s="93" t="s">
        <v>54</v>
      </c>
    </row>
    <row r="3638" spans="1:8" ht="18" customHeight="1" x14ac:dyDescent="0.15">
      <c r="A3638" s="3" t="s">
        <v>850</v>
      </c>
      <c r="B3638" s="2"/>
      <c r="C3638" s="2"/>
      <c r="D3638" s="2"/>
      <c r="E3638" s="2"/>
      <c r="F3638" s="2"/>
      <c r="G3638" s="2"/>
      <c r="H3638" s="2"/>
    </row>
    <row r="3639" spans="1:8" ht="24" x14ac:dyDescent="0.15">
      <c r="A3639" s="230" t="s">
        <v>751</v>
      </c>
      <c r="B3639" s="230"/>
      <c r="C3639" s="230"/>
      <c r="D3639" s="230"/>
      <c r="E3639" s="230"/>
      <c r="F3639" s="230"/>
      <c r="G3639" s="230"/>
      <c r="H3639" s="230"/>
    </row>
    <row r="3640" spans="1:8" ht="24" customHeight="1" x14ac:dyDescent="0.15">
      <c r="A3640" s="231"/>
      <c r="B3640" s="231"/>
      <c r="C3640" s="231"/>
      <c r="D3640" s="231"/>
      <c r="E3640" s="231"/>
      <c r="F3640" s="231"/>
      <c r="G3640" s="231"/>
      <c r="H3640" s="231"/>
    </row>
    <row r="3641" spans="1:8" ht="18" customHeight="1" thickBot="1" x14ac:dyDescent="0.2">
      <c r="A3641" s="58" t="s">
        <v>752</v>
      </c>
    </row>
    <row r="3642" spans="1:8" ht="14.25" x14ac:dyDescent="0.15">
      <c r="A3642" s="232" t="s">
        <v>753</v>
      </c>
      <c r="B3642" s="235" t="s">
        <v>754</v>
      </c>
      <c r="C3642" s="238" t="s">
        <v>755</v>
      </c>
      <c r="D3642" s="241" t="s">
        <v>756</v>
      </c>
      <c r="E3642" s="57"/>
      <c r="F3642" s="56"/>
      <c r="G3642" s="56"/>
      <c r="H3642" s="55"/>
    </row>
    <row r="3643" spans="1:8" ht="18" customHeight="1" x14ac:dyDescent="0.15">
      <c r="A3643" s="233"/>
      <c r="B3643" s="236"/>
      <c r="C3643" s="239"/>
      <c r="D3643" s="242"/>
      <c r="E3643" s="244" t="s">
        <v>757</v>
      </c>
      <c r="F3643" s="246" t="s">
        <v>758</v>
      </c>
      <c r="G3643" s="246" t="s">
        <v>759</v>
      </c>
      <c r="H3643" s="248" t="s">
        <v>760</v>
      </c>
    </row>
    <row r="3644" spans="1:8" ht="18" customHeight="1" thickBot="1" x14ac:dyDescent="0.2">
      <c r="A3644" s="234"/>
      <c r="B3644" s="237"/>
      <c r="C3644" s="240"/>
      <c r="D3644" s="243"/>
      <c r="E3644" s="245"/>
      <c r="F3644" s="247"/>
      <c r="G3644" s="247"/>
      <c r="H3644" s="249"/>
    </row>
    <row r="3645" spans="1:8" ht="15" thickTop="1" x14ac:dyDescent="0.15">
      <c r="A3645" s="54"/>
      <c r="B3645" s="53"/>
      <c r="C3645" s="52"/>
      <c r="D3645" s="51" t="s">
        <v>761</v>
      </c>
      <c r="E3645" s="50" t="s">
        <v>761</v>
      </c>
      <c r="F3645" s="49" t="s">
        <v>761</v>
      </c>
      <c r="G3645" s="49" t="s">
        <v>761</v>
      </c>
      <c r="H3645" s="48" t="s">
        <v>761</v>
      </c>
    </row>
    <row r="3646" spans="1:8" ht="18" customHeight="1" x14ac:dyDescent="0.15">
      <c r="A3646" s="250" t="s">
        <v>762</v>
      </c>
      <c r="B3646" s="61" t="s">
        <v>763</v>
      </c>
      <c r="C3646" s="62">
        <v>3658</v>
      </c>
      <c r="D3646" s="63">
        <v>598979317</v>
      </c>
      <c r="E3646" s="63">
        <v>224801328</v>
      </c>
      <c r="F3646" s="64">
        <v>184421211</v>
      </c>
      <c r="G3646" s="64">
        <v>184412928</v>
      </c>
      <c r="H3646" s="65">
        <v>5343849</v>
      </c>
    </row>
    <row r="3647" spans="1:8" ht="18" customHeight="1" x14ac:dyDescent="0.15">
      <c r="A3647" s="250"/>
      <c r="B3647" s="66" t="s">
        <v>764</v>
      </c>
      <c r="C3647" s="67">
        <v>31</v>
      </c>
      <c r="D3647" s="68">
        <v>324436</v>
      </c>
      <c r="E3647" s="68">
        <v>101700</v>
      </c>
      <c r="F3647" s="69">
        <v>181676</v>
      </c>
      <c r="G3647" s="69">
        <v>39789</v>
      </c>
      <c r="H3647" s="70">
        <v>1269</v>
      </c>
    </row>
    <row r="3648" spans="1:8" ht="13.5" x14ac:dyDescent="0.15">
      <c r="A3648" s="250"/>
      <c r="B3648" s="66" t="s">
        <v>765</v>
      </c>
      <c r="C3648" s="67">
        <v>29</v>
      </c>
      <c r="D3648" s="68">
        <v>0</v>
      </c>
      <c r="E3648" s="68">
        <v>0</v>
      </c>
      <c r="F3648" s="69">
        <v>0</v>
      </c>
      <c r="G3648" s="69">
        <v>0</v>
      </c>
      <c r="H3648" s="70">
        <v>0</v>
      </c>
    </row>
    <row r="3649" spans="1:8" ht="18" customHeight="1" x14ac:dyDescent="0.15">
      <c r="A3649" s="250"/>
      <c r="B3649" s="71" t="s">
        <v>766</v>
      </c>
      <c r="C3649" s="72">
        <v>1</v>
      </c>
      <c r="D3649" s="73">
        <v>167069</v>
      </c>
      <c r="E3649" s="73">
        <v>125059</v>
      </c>
      <c r="F3649" s="74">
        <v>9674</v>
      </c>
      <c r="G3649" s="74">
        <v>30650</v>
      </c>
      <c r="H3649" s="75">
        <v>1685</v>
      </c>
    </row>
    <row r="3650" spans="1:8" ht="18" customHeight="1" x14ac:dyDescent="0.15">
      <c r="A3650" s="250"/>
      <c r="B3650" s="66" t="s">
        <v>767</v>
      </c>
      <c r="C3650" s="67">
        <v>61</v>
      </c>
      <c r="D3650" s="68">
        <v>12062768</v>
      </c>
      <c r="E3650" s="68">
        <v>3287077</v>
      </c>
      <c r="F3650" s="69">
        <v>2999139</v>
      </c>
      <c r="G3650" s="69">
        <v>5742362</v>
      </c>
      <c r="H3650" s="70">
        <v>34188</v>
      </c>
    </row>
    <row r="3651" spans="1:8" ht="13.5" x14ac:dyDescent="0.15">
      <c r="A3651" s="250"/>
      <c r="B3651" s="76" t="s">
        <v>768</v>
      </c>
      <c r="C3651" s="67">
        <v>155</v>
      </c>
      <c r="D3651" s="68">
        <v>22293479</v>
      </c>
      <c r="E3651" s="68">
        <v>3335974</v>
      </c>
      <c r="F3651" s="69">
        <v>1304979</v>
      </c>
      <c r="G3651" s="69">
        <v>17609439</v>
      </c>
      <c r="H3651" s="70">
        <v>43085</v>
      </c>
    </row>
    <row r="3652" spans="1:8" ht="18" customHeight="1" x14ac:dyDescent="0.15">
      <c r="A3652" s="251"/>
      <c r="B3652" s="77" t="s">
        <v>769</v>
      </c>
      <c r="C3652" s="72">
        <v>50</v>
      </c>
      <c r="D3652" s="73">
        <v>297389</v>
      </c>
      <c r="E3652" s="73">
        <v>273023</v>
      </c>
      <c r="F3652" s="74">
        <v>8414</v>
      </c>
      <c r="G3652" s="74">
        <v>14385</v>
      </c>
      <c r="H3652" s="75">
        <v>1565</v>
      </c>
    </row>
    <row r="3653" spans="1:8" ht="18" customHeight="1" x14ac:dyDescent="0.15">
      <c r="A3653" s="30" t="s">
        <v>770</v>
      </c>
      <c r="B3653" s="78" t="s">
        <v>771</v>
      </c>
      <c r="C3653" s="79">
        <v>33</v>
      </c>
      <c r="D3653" s="80">
        <v>99813</v>
      </c>
      <c r="E3653" s="80">
        <v>97692</v>
      </c>
      <c r="F3653" s="81">
        <v>1859</v>
      </c>
      <c r="G3653" s="81">
        <v>0</v>
      </c>
      <c r="H3653" s="82">
        <v>261</v>
      </c>
    </row>
    <row r="3654" spans="1:8" ht="13.5" x14ac:dyDescent="0.15">
      <c r="A3654" s="252" t="s">
        <v>772</v>
      </c>
      <c r="B3654" s="17" t="s">
        <v>773</v>
      </c>
      <c r="C3654" s="16">
        <v>3074</v>
      </c>
      <c r="D3654" s="83">
        <v>59821728</v>
      </c>
      <c r="E3654" s="83">
        <v>9118340</v>
      </c>
      <c r="F3654" s="84">
        <v>8062407</v>
      </c>
      <c r="G3654" s="84">
        <v>34904131</v>
      </c>
      <c r="H3654" s="85">
        <v>7736848</v>
      </c>
    </row>
    <row r="3655" spans="1:8" ht="18" customHeight="1" x14ac:dyDescent="0.15">
      <c r="A3655" s="250"/>
      <c r="B3655" s="23" t="s">
        <v>774</v>
      </c>
      <c r="C3655" s="22">
        <v>2974</v>
      </c>
      <c r="D3655" s="86">
        <v>14446457</v>
      </c>
      <c r="E3655" s="86">
        <v>600685</v>
      </c>
      <c r="F3655" s="87">
        <v>3135185</v>
      </c>
      <c r="G3655" s="87">
        <v>8754489</v>
      </c>
      <c r="H3655" s="88">
        <v>1956096</v>
      </c>
    </row>
    <row r="3656" spans="1:8" ht="18" customHeight="1" x14ac:dyDescent="0.15">
      <c r="A3656" s="250"/>
      <c r="B3656" s="24" t="s">
        <v>775</v>
      </c>
      <c r="C3656" s="22">
        <v>610</v>
      </c>
      <c r="D3656" s="86">
        <v>33289020</v>
      </c>
      <c r="E3656" s="86">
        <v>2256368</v>
      </c>
      <c r="F3656" s="87">
        <v>5956131</v>
      </c>
      <c r="G3656" s="87">
        <v>18474507</v>
      </c>
      <c r="H3656" s="88">
        <v>6602013</v>
      </c>
    </row>
    <row r="3657" spans="1:8" ht="18" customHeight="1" x14ac:dyDescent="0.15">
      <c r="A3657" s="250"/>
      <c r="B3657" s="23" t="s">
        <v>776</v>
      </c>
      <c r="C3657" s="22">
        <v>1531</v>
      </c>
      <c r="D3657" s="86">
        <v>46003400</v>
      </c>
      <c r="E3657" s="86">
        <v>4068286</v>
      </c>
      <c r="F3657" s="87">
        <v>8023798</v>
      </c>
      <c r="G3657" s="87">
        <v>30064689</v>
      </c>
      <c r="H3657" s="88">
        <v>3846625</v>
      </c>
    </row>
    <row r="3658" spans="1:8" ht="18" customHeight="1" x14ac:dyDescent="0.15">
      <c r="A3658" s="250"/>
      <c r="B3658" s="23" t="s">
        <v>777</v>
      </c>
      <c r="C3658" s="22">
        <v>217</v>
      </c>
      <c r="D3658" s="86">
        <v>4073400</v>
      </c>
      <c r="E3658" s="86">
        <v>151789</v>
      </c>
      <c r="F3658" s="87">
        <v>132180</v>
      </c>
      <c r="G3658" s="87">
        <v>3742531</v>
      </c>
      <c r="H3658" s="88">
        <v>46898</v>
      </c>
    </row>
    <row r="3659" spans="1:8" ht="18" customHeight="1" x14ac:dyDescent="0.15">
      <c r="A3659" s="250"/>
      <c r="B3659" s="23" t="s">
        <v>778</v>
      </c>
      <c r="C3659" s="22">
        <v>108</v>
      </c>
      <c r="D3659" s="86">
        <v>1054600</v>
      </c>
      <c r="E3659" s="86">
        <v>237550</v>
      </c>
      <c r="F3659" s="87">
        <v>56100</v>
      </c>
      <c r="G3659" s="87">
        <v>499670</v>
      </c>
      <c r="H3659" s="88">
        <v>261280</v>
      </c>
    </row>
    <row r="3660" spans="1:8" ht="18" customHeight="1" x14ac:dyDescent="0.15">
      <c r="A3660" s="250"/>
      <c r="B3660" s="23" t="s">
        <v>779</v>
      </c>
      <c r="C3660" s="22">
        <v>32</v>
      </c>
      <c r="D3660" s="86">
        <v>273021</v>
      </c>
      <c r="E3660" s="86">
        <v>119212</v>
      </c>
      <c r="F3660" s="87">
        <v>16517</v>
      </c>
      <c r="G3660" s="87">
        <v>87097</v>
      </c>
      <c r="H3660" s="88">
        <v>50194</v>
      </c>
    </row>
    <row r="3661" spans="1:8" ht="18" customHeight="1" x14ac:dyDescent="0.15">
      <c r="A3661" s="250"/>
      <c r="B3661" s="23" t="s">
        <v>780</v>
      </c>
      <c r="C3661" s="22">
        <v>0</v>
      </c>
      <c r="D3661" s="86">
        <v>0</v>
      </c>
      <c r="E3661" s="86">
        <v>0</v>
      </c>
      <c r="F3661" s="87">
        <v>0</v>
      </c>
      <c r="G3661" s="87">
        <v>0</v>
      </c>
      <c r="H3661" s="88">
        <v>0</v>
      </c>
    </row>
    <row r="3662" spans="1:8" ht="18" customHeight="1" x14ac:dyDescent="0.15">
      <c r="A3662" s="250"/>
      <c r="B3662" s="23" t="s">
        <v>781</v>
      </c>
      <c r="C3662" s="22">
        <v>247</v>
      </c>
      <c r="D3662" s="86">
        <v>10250590</v>
      </c>
      <c r="E3662" s="86">
        <v>812550</v>
      </c>
      <c r="F3662" s="87">
        <v>2954020</v>
      </c>
      <c r="G3662" s="87">
        <v>3792190</v>
      </c>
      <c r="H3662" s="88">
        <v>2691830</v>
      </c>
    </row>
    <row r="3663" spans="1:8" ht="18" customHeight="1" x14ac:dyDescent="0.15">
      <c r="A3663" s="250"/>
      <c r="B3663" s="23" t="s">
        <v>782</v>
      </c>
      <c r="C3663" s="22">
        <v>3015</v>
      </c>
      <c r="D3663" s="86">
        <v>61889028</v>
      </c>
      <c r="E3663" s="86">
        <v>13086877</v>
      </c>
      <c r="F3663" s="87">
        <v>9811068</v>
      </c>
      <c r="G3663" s="87">
        <v>32715174</v>
      </c>
      <c r="H3663" s="88">
        <v>6275907</v>
      </c>
    </row>
    <row r="3664" spans="1:8" ht="13.5" x14ac:dyDescent="0.15">
      <c r="A3664" s="250"/>
      <c r="B3664" s="23" t="s">
        <v>783</v>
      </c>
      <c r="C3664" s="22">
        <v>609</v>
      </c>
      <c r="D3664" s="86">
        <v>16250425</v>
      </c>
      <c r="E3664" s="86">
        <v>1865206</v>
      </c>
      <c r="F3664" s="87">
        <v>3502789</v>
      </c>
      <c r="G3664" s="87">
        <v>9588427</v>
      </c>
      <c r="H3664" s="88">
        <v>1294001</v>
      </c>
    </row>
    <row r="3665" spans="1:8" ht="18" customHeight="1" x14ac:dyDescent="0.15">
      <c r="A3665" s="250"/>
      <c r="B3665" s="23" t="s">
        <v>784</v>
      </c>
      <c r="C3665" s="22">
        <v>44799</v>
      </c>
      <c r="D3665" s="86">
        <v>14462779</v>
      </c>
      <c r="E3665" s="86">
        <v>675898</v>
      </c>
      <c r="F3665" s="87">
        <v>6867722</v>
      </c>
      <c r="G3665" s="87">
        <v>6538578</v>
      </c>
      <c r="H3665" s="88">
        <v>380580</v>
      </c>
    </row>
    <row r="3666" spans="1:8" ht="18" customHeight="1" x14ac:dyDescent="0.15">
      <c r="A3666" s="250"/>
      <c r="B3666" s="23" t="s">
        <v>785</v>
      </c>
      <c r="C3666" s="22">
        <v>816</v>
      </c>
      <c r="D3666" s="86">
        <v>3650126</v>
      </c>
      <c r="E3666" s="86">
        <v>5761</v>
      </c>
      <c r="F3666" s="87">
        <v>2201353</v>
      </c>
      <c r="G3666" s="87">
        <v>1443012</v>
      </c>
      <c r="H3666" s="88">
        <v>0</v>
      </c>
    </row>
    <row r="3667" spans="1:8" ht="18" customHeight="1" x14ac:dyDescent="0.15">
      <c r="A3667" s="250"/>
      <c r="B3667" s="23" t="s">
        <v>786</v>
      </c>
      <c r="C3667" s="22">
        <v>49</v>
      </c>
      <c r="D3667" s="86">
        <v>614500</v>
      </c>
      <c r="E3667" s="86">
        <v>175643</v>
      </c>
      <c r="F3667" s="87">
        <v>83801</v>
      </c>
      <c r="G3667" s="87">
        <v>300756</v>
      </c>
      <c r="H3667" s="88">
        <v>54300</v>
      </c>
    </row>
    <row r="3668" spans="1:8" ht="18" customHeight="1" x14ac:dyDescent="0.15">
      <c r="A3668" s="250"/>
      <c r="B3668" s="23" t="s">
        <v>787</v>
      </c>
      <c r="C3668" s="22">
        <v>411</v>
      </c>
      <c r="D3668" s="86">
        <v>2025714</v>
      </c>
      <c r="E3668" s="86">
        <v>189860</v>
      </c>
      <c r="F3668" s="87">
        <v>1045514</v>
      </c>
      <c r="G3668" s="87">
        <v>723539</v>
      </c>
      <c r="H3668" s="88">
        <v>66800</v>
      </c>
    </row>
    <row r="3669" spans="1:8" ht="18" customHeight="1" x14ac:dyDescent="0.15">
      <c r="A3669" s="250"/>
      <c r="B3669" s="23" t="s">
        <v>788</v>
      </c>
      <c r="C3669" s="22">
        <v>300</v>
      </c>
      <c r="D3669" s="86">
        <v>8000900</v>
      </c>
      <c r="E3669" s="86">
        <v>848892</v>
      </c>
      <c r="F3669" s="87">
        <v>1554954</v>
      </c>
      <c r="G3669" s="87">
        <v>5106603</v>
      </c>
      <c r="H3669" s="88">
        <v>490450</v>
      </c>
    </row>
    <row r="3670" spans="1:8" ht="13.5" x14ac:dyDescent="0.15">
      <c r="A3670" s="250"/>
      <c r="B3670" s="23" t="s">
        <v>789</v>
      </c>
      <c r="C3670" s="22">
        <v>42</v>
      </c>
      <c r="D3670" s="86">
        <v>1862200</v>
      </c>
      <c r="E3670" s="86">
        <v>161100</v>
      </c>
      <c r="F3670" s="87">
        <v>627000</v>
      </c>
      <c r="G3670" s="87">
        <v>925000</v>
      </c>
      <c r="H3670" s="88">
        <v>149100</v>
      </c>
    </row>
    <row r="3671" spans="1:8" ht="18" customHeight="1" x14ac:dyDescent="0.15">
      <c r="A3671" s="250"/>
      <c r="B3671" s="23" t="s">
        <v>790</v>
      </c>
      <c r="C3671" s="22">
        <v>0</v>
      </c>
      <c r="D3671" s="86">
        <v>0</v>
      </c>
      <c r="E3671" s="86">
        <v>0</v>
      </c>
      <c r="F3671" s="87">
        <v>0</v>
      </c>
      <c r="G3671" s="87">
        <v>0</v>
      </c>
      <c r="H3671" s="88">
        <v>0</v>
      </c>
    </row>
    <row r="3672" spans="1:8" ht="18" customHeight="1" x14ac:dyDescent="0.15">
      <c r="A3672" s="250"/>
      <c r="B3672" s="23" t="s">
        <v>791</v>
      </c>
      <c r="C3672" s="22">
        <v>4</v>
      </c>
      <c r="D3672" s="86">
        <v>81100</v>
      </c>
      <c r="E3672" s="86">
        <v>0</v>
      </c>
      <c r="F3672" s="87">
        <v>8700</v>
      </c>
      <c r="G3672" s="87">
        <v>72400</v>
      </c>
      <c r="H3672" s="88">
        <v>0</v>
      </c>
    </row>
    <row r="3673" spans="1:8" ht="18" customHeight="1" x14ac:dyDescent="0.15">
      <c r="A3673" s="250"/>
      <c r="B3673" s="23" t="s">
        <v>792</v>
      </c>
      <c r="C3673" s="22">
        <v>1</v>
      </c>
      <c r="D3673" s="86">
        <v>3000</v>
      </c>
      <c r="E3673" s="86">
        <v>100</v>
      </c>
      <c r="F3673" s="87">
        <v>500</v>
      </c>
      <c r="G3673" s="87">
        <v>1600</v>
      </c>
      <c r="H3673" s="88">
        <v>800</v>
      </c>
    </row>
    <row r="3674" spans="1:8" ht="18" customHeight="1" x14ac:dyDescent="0.15">
      <c r="A3674" s="251"/>
      <c r="B3674" s="23" t="s">
        <v>793</v>
      </c>
      <c r="C3674" s="22">
        <v>11</v>
      </c>
      <c r="D3674" s="86">
        <v>3471</v>
      </c>
      <c r="E3674" s="86">
        <v>466</v>
      </c>
      <c r="F3674" s="87">
        <v>0</v>
      </c>
      <c r="G3674" s="87">
        <v>3005</v>
      </c>
      <c r="H3674" s="88">
        <v>0</v>
      </c>
    </row>
    <row r="3675" spans="1:8" ht="18" customHeight="1" x14ac:dyDescent="0.15">
      <c r="A3675" s="18" t="s">
        <v>794</v>
      </c>
      <c r="B3675" s="17" t="s">
        <v>795</v>
      </c>
      <c r="C3675" s="16">
        <v>3284</v>
      </c>
      <c r="D3675" s="80">
        <v>16000284</v>
      </c>
      <c r="E3675" s="80">
        <v>782500</v>
      </c>
      <c r="F3675" s="81">
        <v>6682439</v>
      </c>
      <c r="G3675" s="81">
        <v>6035345</v>
      </c>
      <c r="H3675" s="82">
        <v>2500000</v>
      </c>
    </row>
    <row r="3676" spans="1:8" ht="13.5" x14ac:dyDescent="0.15">
      <c r="A3676" s="252" t="s">
        <v>796</v>
      </c>
      <c r="B3676" s="12" t="s">
        <v>797</v>
      </c>
      <c r="C3676" s="11">
        <v>5924</v>
      </c>
      <c r="D3676" s="89">
        <v>76602659</v>
      </c>
      <c r="E3676" s="89">
        <v>46962861</v>
      </c>
      <c r="F3676" s="90">
        <v>12517734</v>
      </c>
      <c r="G3676" s="90">
        <v>10876775</v>
      </c>
      <c r="H3676" s="91">
        <v>6245288</v>
      </c>
    </row>
    <row r="3677" spans="1:8" ht="18" customHeight="1" thickBot="1" x14ac:dyDescent="0.2">
      <c r="A3677" s="253"/>
      <c r="B3677" s="7" t="s">
        <v>798</v>
      </c>
      <c r="C3677" s="6">
        <v>4929</v>
      </c>
      <c r="D3677" s="92" t="s">
        <v>799</v>
      </c>
      <c r="E3677" s="92" t="s">
        <v>799</v>
      </c>
      <c r="F3677" s="92" t="s">
        <v>799</v>
      </c>
      <c r="G3677" s="92" t="s">
        <v>799</v>
      </c>
      <c r="H3677" s="93" t="s">
        <v>799</v>
      </c>
    </row>
    <row r="3678" spans="1:8" ht="18" customHeight="1" x14ac:dyDescent="0.15">
      <c r="A3678" s="3" t="s">
        <v>800</v>
      </c>
      <c r="B3678" s="2"/>
      <c r="C3678" s="2"/>
      <c r="D3678" s="2"/>
      <c r="E3678" s="2"/>
      <c r="F3678" s="2"/>
      <c r="G3678" s="2"/>
      <c r="H3678" s="2"/>
    </row>
    <row r="3679" spans="1:8" ht="24" x14ac:dyDescent="0.15">
      <c r="A3679" s="230" t="s">
        <v>701</v>
      </c>
      <c r="B3679" s="230"/>
      <c r="C3679" s="230"/>
      <c r="D3679" s="230"/>
      <c r="E3679" s="230"/>
      <c r="F3679" s="230"/>
      <c r="G3679" s="230"/>
      <c r="H3679" s="230"/>
    </row>
    <row r="3680" spans="1:8" ht="24" customHeight="1" x14ac:dyDescent="0.15">
      <c r="A3680" s="231"/>
      <c r="B3680" s="231"/>
      <c r="C3680" s="231"/>
      <c r="D3680" s="231"/>
      <c r="E3680" s="231"/>
      <c r="F3680" s="231"/>
      <c r="G3680" s="231"/>
      <c r="H3680" s="231"/>
    </row>
    <row r="3681" spans="1:8" ht="18" customHeight="1" thickBot="1" x14ac:dyDescent="0.2">
      <c r="A3681" s="58" t="s">
        <v>702</v>
      </c>
    </row>
    <row r="3682" spans="1:8" ht="14.25" x14ac:dyDescent="0.15">
      <c r="A3682" s="232" t="s">
        <v>703</v>
      </c>
      <c r="B3682" s="235" t="s">
        <v>704</v>
      </c>
      <c r="C3682" s="238" t="s">
        <v>705</v>
      </c>
      <c r="D3682" s="241" t="s">
        <v>706</v>
      </c>
      <c r="E3682" s="57"/>
      <c r="F3682" s="56"/>
      <c r="G3682" s="56"/>
      <c r="H3682" s="55"/>
    </row>
    <row r="3683" spans="1:8" ht="18" customHeight="1" x14ac:dyDescent="0.15">
      <c r="A3683" s="233"/>
      <c r="B3683" s="236"/>
      <c r="C3683" s="239"/>
      <c r="D3683" s="242"/>
      <c r="E3683" s="244" t="s">
        <v>707</v>
      </c>
      <c r="F3683" s="246" t="s">
        <v>708</v>
      </c>
      <c r="G3683" s="246" t="s">
        <v>709</v>
      </c>
      <c r="H3683" s="248" t="s">
        <v>710</v>
      </c>
    </row>
    <row r="3684" spans="1:8" ht="18" customHeight="1" thickBot="1" x14ac:dyDescent="0.2">
      <c r="A3684" s="234"/>
      <c r="B3684" s="237"/>
      <c r="C3684" s="240"/>
      <c r="D3684" s="243"/>
      <c r="E3684" s="245"/>
      <c r="F3684" s="247"/>
      <c r="G3684" s="247"/>
      <c r="H3684" s="249"/>
    </row>
    <row r="3685" spans="1:8" ht="15" thickTop="1" x14ac:dyDescent="0.15">
      <c r="A3685" s="54"/>
      <c r="B3685" s="53"/>
      <c r="C3685" s="52"/>
      <c r="D3685" s="51" t="s">
        <v>711</v>
      </c>
      <c r="E3685" s="50" t="s">
        <v>711</v>
      </c>
      <c r="F3685" s="49" t="s">
        <v>711</v>
      </c>
      <c r="G3685" s="49" t="s">
        <v>711</v>
      </c>
      <c r="H3685" s="48" t="s">
        <v>711</v>
      </c>
    </row>
    <row r="3686" spans="1:8" ht="18" customHeight="1" x14ac:dyDescent="0.15">
      <c r="A3686" s="250" t="s">
        <v>712</v>
      </c>
      <c r="B3686" s="61" t="s">
        <v>713</v>
      </c>
      <c r="C3686" s="62">
        <v>3655</v>
      </c>
      <c r="D3686" s="63">
        <v>592969610</v>
      </c>
      <c r="E3686" s="63">
        <v>221469092</v>
      </c>
      <c r="F3686" s="64">
        <v>184231745</v>
      </c>
      <c r="G3686" s="64">
        <v>181742848</v>
      </c>
      <c r="H3686" s="65">
        <v>5525924</v>
      </c>
    </row>
    <row r="3687" spans="1:8" ht="18" customHeight="1" x14ac:dyDescent="0.15">
      <c r="A3687" s="250"/>
      <c r="B3687" s="66" t="s">
        <v>714</v>
      </c>
      <c r="C3687" s="67">
        <v>31</v>
      </c>
      <c r="D3687" s="68">
        <v>324255</v>
      </c>
      <c r="E3687" s="68">
        <v>107441</v>
      </c>
      <c r="F3687" s="69">
        <v>172979</v>
      </c>
      <c r="G3687" s="69">
        <v>43835</v>
      </c>
      <c r="H3687" s="70">
        <v>0</v>
      </c>
    </row>
    <row r="3688" spans="1:8" ht="13.5" x14ac:dyDescent="0.15">
      <c r="A3688" s="250"/>
      <c r="B3688" s="66" t="s">
        <v>715</v>
      </c>
      <c r="C3688" s="67">
        <v>31</v>
      </c>
      <c r="D3688" s="68">
        <v>0</v>
      </c>
      <c r="E3688" s="68">
        <v>0</v>
      </c>
      <c r="F3688" s="69">
        <v>0</v>
      </c>
      <c r="G3688" s="69">
        <v>0</v>
      </c>
      <c r="H3688" s="70">
        <v>0</v>
      </c>
    </row>
    <row r="3689" spans="1:8" ht="18" customHeight="1" x14ac:dyDescent="0.15">
      <c r="A3689" s="250"/>
      <c r="B3689" s="71" t="s">
        <v>716</v>
      </c>
      <c r="C3689" s="72">
        <v>1</v>
      </c>
      <c r="D3689" s="73">
        <v>164236</v>
      </c>
      <c r="E3689" s="73">
        <v>122734</v>
      </c>
      <c r="F3689" s="74">
        <v>9702</v>
      </c>
      <c r="G3689" s="74">
        <v>30130</v>
      </c>
      <c r="H3689" s="75">
        <v>1668</v>
      </c>
    </row>
    <row r="3690" spans="1:8" ht="18" customHeight="1" x14ac:dyDescent="0.15">
      <c r="A3690" s="250"/>
      <c r="B3690" s="66" t="s">
        <v>717</v>
      </c>
      <c r="C3690" s="67">
        <v>61</v>
      </c>
      <c r="D3690" s="68">
        <v>12082460</v>
      </c>
      <c r="E3690" s="68">
        <v>3213954</v>
      </c>
      <c r="F3690" s="69">
        <v>3056674</v>
      </c>
      <c r="G3690" s="69">
        <v>5787423</v>
      </c>
      <c r="H3690" s="70">
        <v>24407</v>
      </c>
    </row>
    <row r="3691" spans="1:8" ht="13.5" x14ac:dyDescent="0.15">
      <c r="A3691" s="250"/>
      <c r="B3691" s="76" t="s">
        <v>718</v>
      </c>
      <c r="C3691" s="67">
        <v>155</v>
      </c>
      <c r="D3691" s="68">
        <v>21475211</v>
      </c>
      <c r="E3691" s="68">
        <v>3245591</v>
      </c>
      <c r="F3691" s="69">
        <v>1309044</v>
      </c>
      <c r="G3691" s="69">
        <v>16881326</v>
      </c>
      <c r="H3691" s="70">
        <v>39249</v>
      </c>
    </row>
    <row r="3692" spans="1:8" ht="18" customHeight="1" x14ac:dyDescent="0.15">
      <c r="A3692" s="251"/>
      <c r="B3692" s="77" t="s">
        <v>719</v>
      </c>
      <c r="C3692" s="72">
        <v>47</v>
      </c>
      <c r="D3692" s="73">
        <v>291987</v>
      </c>
      <c r="E3692" s="73">
        <v>267765</v>
      </c>
      <c r="F3692" s="74">
        <v>8584</v>
      </c>
      <c r="G3692" s="74">
        <v>13889</v>
      </c>
      <c r="H3692" s="75">
        <v>1748</v>
      </c>
    </row>
    <row r="3693" spans="1:8" ht="18" customHeight="1" x14ac:dyDescent="0.15">
      <c r="A3693" s="30" t="s">
        <v>720</v>
      </c>
      <c r="B3693" s="78" t="s">
        <v>721</v>
      </c>
      <c r="C3693" s="79">
        <v>33</v>
      </c>
      <c r="D3693" s="80">
        <v>95655</v>
      </c>
      <c r="E3693" s="80">
        <v>93415</v>
      </c>
      <c r="F3693" s="81">
        <v>2023</v>
      </c>
      <c r="G3693" s="81">
        <v>0</v>
      </c>
      <c r="H3693" s="82">
        <v>216</v>
      </c>
    </row>
    <row r="3694" spans="1:8" ht="13.5" x14ac:dyDescent="0.15">
      <c r="A3694" s="252" t="s">
        <v>722</v>
      </c>
      <c r="B3694" s="17" t="s">
        <v>723</v>
      </c>
      <c r="C3694" s="16">
        <v>3073</v>
      </c>
      <c r="D3694" s="83">
        <v>59723454</v>
      </c>
      <c r="E3694" s="83">
        <v>9110778</v>
      </c>
      <c r="F3694" s="84">
        <v>7993392</v>
      </c>
      <c r="G3694" s="84">
        <v>34911115</v>
      </c>
      <c r="H3694" s="85">
        <v>7708167</v>
      </c>
    </row>
    <row r="3695" spans="1:8" ht="18" customHeight="1" x14ac:dyDescent="0.15">
      <c r="A3695" s="250"/>
      <c r="B3695" s="23" t="s">
        <v>724</v>
      </c>
      <c r="C3695" s="22">
        <v>2967</v>
      </c>
      <c r="D3695" s="86">
        <v>14428562</v>
      </c>
      <c r="E3695" s="86">
        <v>594500</v>
      </c>
      <c r="F3695" s="87">
        <v>3113386</v>
      </c>
      <c r="G3695" s="87">
        <v>8766786</v>
      </c>
      <c r="H3695" s="88">
        <v>1953888</v>
      </c>
    </row>
    <row r="3696" spans="1:8" ht="18" customHeight="1" x14ac:dyDescent="0.15">
      <c r="A3696" s="250"/>
      <c r="B3696" s="24" t="s">
        <v>725</v>
      </c>
      <c r="C3696" s="22">
        <v>610</v>
      </c>
      <c r="D3696" s="86">
        <v>33449020</v>
      </c>
      <c r="E3696" s="86">
        <v>2104622</v>
      </c>
      <c r="F3696" s="87">
        <v>5886245</v>
      </c>
      <c r="G3696" s="87">
        <v>18849778</v>
      </c>
      <c r="H3696" s="88">
        <v>6608374</v>
      </c>
    </row>
    <row r="3697" spans="1:8" ht="18" customHeight="1" x14ac:dyDescent="0.15">
      <c r="A3697" s="250"/>
      <c r="B3697" s="23" t="s">
        <v>726</v>
      </c>
      <c r="C3697" s="22">
        <v>1521</v>
      </c>
      <c r="D3697" s="86">
        <v>45785400</v>
      </c>
      <c r="E3697" s="86">
        <v>4116867</v>
      </c>
      <c r="F3697" s="87">
        <v>7891538</v>
      </c>
      <c r="G3697" s="87">
        <v>29973058</v>
      </c>
      <c r="H3697" s="88">
        <v>3803935</v>
      </c>
    </row>
    <row r="3698" spans="1:8" ht="18" customHeight="1" x14ac:dyDescent="0.15">
      <c r="A3698" s="250"/>
      <c r="B3698" s="23" t="s">
        <v>727</v>
      </c>
      <c r="C3698" s="22">
        <v>213</v>
      </c>
      <c r="D3698" s="86">
        <v>4118900</v>
      </c>
      <c r="E3698" s="86">
        <v>151628</v>
      </c>
      <c r="F3698" s="87">
        <v>133060</v>
      </c>
      <c r="G3698" s="87">
        <v>3789296</v>
      </c>
      <c r="H3698" s="88">
        <v>44914</v>
      </c>
    </row>
    <row r="3699" spans="1:8" ht="18" customHeight="1" x14ac:dyDescent="0.15">
      <c r="A3699" s="250"/>
      <c r="B3699" s="23" t="s">
        <v>728</v>
      </c>
      <c r="C3699" s="22">
        <v>102</v>
      </c>
      <c r="D3699" s="86">
        <v>1015600</v>
      </c>
      <c r="E3699" s="86">
        <v>227650</v>
      </c>
      <c r="F3699" s="87">
        <v>54800</v>
      </c>
      <c r="G3699" s="87">
        <v>483370</v>
      </c>
      <c r="H3699" s="88">
        <v>249780</v>
      </c>
    </row>
    <row r="3700" spans="1:8" ht="18" customHeight="1" x14ac:dyDescent="0.15">
      <c r="A3700" s="250"/>
      <c r="B3700" s="23" t="s">
        <v>729</v>
      </c>
      <c r="C3700" s="22">
        <v>32</v>
      </c>
      <c r="D3700" s="86">
        <v>273021</v>
      </c>
      <c r="E3700" s="86">
        <v>119212</v>
      </c>
      <c r="F3700" s="87">
        <v>16517</v>
      </c>
      <c r="G3700" s="87">
        <v>87097</v>
      </c>
      <c r="H3700" s="88">
        <v>50194</v>
      </c>
    </row>
    <row r="3701" spans="1:8" ht="18" customHeight="1" x14ac:dyDescent="0.15">
      <c r="A3701" s="250"/>
      <c r="B3701" s="23" t="s">
        <v>730</v>
      </c>
      <c r="C3701" s="22">
        <v>0</v>
      </c>
      <c r="D3701" s="86">
        <v>0</v>
      </c>
      <c r="E3701" s="86">
        <v>0</v>
      </c>
      <c r="F3701" s="87">
        <v>0</v>
      </c>
      <c r="G3701" s="87">
        <v>0</v>
      </c>
      <c r="H3701" s="88">
        <v>0</v>
      </c>
    </row>
    <row r="3702" spans="1:8" ht="18" customHeight="1" x14ac:dyDescent="0.15">
      <c r="A3702" s="250"/>
      <c r="B3702" s="23" t="s">
        <v>731</v>
      </c>
      <c r="C3702" s="22">
        <v>249</v>
      </c>
      <c r="D3702" s="86">
        <v>10367980</v>
      </c>
      <c r="E3702" s="86">
        <v>805610</v>
      </c>
      <c r="F3702" s="87">
        <v>2990770</v>
      </c>
      <c r="G3702" s="87">
        <v>3845900</v>
      </c>
      <c r="H3702" s="88">
        <v>2725700</v>
      </c>
    </row>
    <row r="3703" spans="1:8" ht="18" customHeight="1" x14ac:dyDescent="0.15">
      <c r="A3703" s="250"/>
      <c r="B3703" s="23" t="s">
        <v>732</v>
      </c>
      <c r="C3703" s="22">
        <v>2996</v>
      </c>
      <c r="D3703" s="86">
        <v>61961570</v>
      </c>
      <c r="E3703" s="86">
        <v>13200637</v>
      </c>
      <c r="F3703" s="87">
        <v>9707926</v>
      </c>
      <c r="G3703" s="87">
        <v>32807428</v>
      </c>
      <c r="H3703" s="88">
        <v>6245577</v>
      </c>
    </row>
    <row r="3704" spans="1:8" ht="13.5" x14ac:dyDescent="0.15">
      <c r="A3704" s="250"/>
      <c r="B3704" s="23" t="s">
        <v>733</v>
      </c>
      <c r="C3704" s="22">
        <v>609</v>
      </c>
      <c r="D3704" s="86">
        <v>16330425</v>
      </c>
      <c r="E3704" s="86">
        <v>1870497</v>
      </c>
      <c r="F3704" s="87">
        <v>3475892</v>
      </c>
      <c r="G3704" s="87">
        <v>9693158</v>
      </c>
      <c r="H3704" s="88">
        <v>1290876</v>
      </c>
    </row>
    <row r="3705" spans="1:8" ht="18" customHeight="1" x14ac:dyDescent="0.15">
      <c r="A3705" s="250"/>
      <c r="B3705" s="23" t="s">
        <v>734</v>
      </c>
      <c r="C3705" s="22">
        <v>44480</v>
      </c>
      <c r="D3705" s="86">
        <v>14392624</v>
      </c>
      <c r="E3705" s="86">
        <v>645298</v>
      </c>
      <c r="F3705" s="87">
        <v>6858688</v>
      </c>
      <c r="G3705" s="87">
        <v>6512936</v>
      </c>
      <c r="H3705" s="88">
        <v>375700</v>
      </c>
    </row>
    <row r="3706" spans="1:8" ht="18" customHeight="1" x14ac:dyDescent="0.15">
      <c r="A3706" s="250"/>
      <c r="B3706" s="23" t="s">
        <v>735</v>
      </c>
      <c r="C3706" s="22">
        <v>815</v>
      </c>
      <c r="D3706" s="86">
        <v>3650026</v>
      </c>
      <c r="E3706" s="86">
        <v>5761</v>
      </c>
      <c r="F3706" s="87">
        <v>2201253</v>
      </c>
      <c r="G3706" s="87">
        <v>1443012</v>
      </c>
      <c r="H3706" s="88">
        <v>0</v>
      </c>
    </row>
    <row r="3707" spans="1:8" ht="18" customHeight="1" x14ac:dyDescent="0.15">
      <c r="A3707" s="250"/>
      <c r="B3707" s="23" t="s">
        <v>736</v>
      </c>
      <c r="C3707" s="22">
        <v>47</v>
      </c>
      <c r="D3707" s="86">
        <v>608500</v>
      </c>
      <c r="E3707" s="86">
        <v>169648</v>
      </c>
      <c r="F3707" s="87">
        <v>83201</v>
      </c>
      <c r="G3707" s="87">
        <v>302251</v>
      </c>
      <c r="H3707" s="88">
        <v>53400</v>
      </c>
    </row>
    <row r="3708" spans="1:8" ht="18" customHeight="1" x14ac:dyDescent="0.15">
      <c r="A3708" s="250"/>
      <c r="B3708" s="23" t="s">
        <v>737</v>
      </c>
      <c r="C3708" s="22">
        <v>415</v>
      </c>
      <c r="D3708" s="86">
        <v>2061264</v>
      </c>
      <c r="E3708" s="86">
        <v>191080</v>
      </c>
      <c r="F3708" s="87">
        <v>1064974</v>
      </c>
      <c r="G3708" s="87">
        <v>729409</v>
      </c>
      <c r="H3708" s="88">
        <v>75800</v>
      </c>
    </row>
    <row r="3709" spans="1:8" ht="18" customHeight="1" x14ac:dyDescent="0.15">
      <c r="A3709" s="250"/>
      <c r="B3709" s="23" t="s">
        <v>738</v>
      </c>
      <c r="C3709" s="22">
        <v>309</v>
      </c>
      <c r="D3709" s="86">
        <v>8423400</v>
      </c>
      <c r="E3709" s="86">
        <v>900355</v>
      </c>
      <c r="F3709" s="87">
        <v>1616254</v>
      </c>
      <c r="G3709" s="87">
        <v>5404103</v>
      </c>
      <c r="H3709" s="88">
        <v>502687</v>
      </c>
    </row>
    <row r="3710" spans="1:8" ht="13.5" x14ac:dyDescent="0.15">
      <c r="A3710" s="250"/>
      <c r="B3710" s="23" t="s">
        <v>739</v>
      </c>
      <c r="C3710" s="22">
        <v>42</v>
      </c>
      <c r="D3710" s="86">
        <v>1862200</v>
      </c>
      <c r="E3710" s="86">
        <v>192400</v>
      </c>
      <c r="F3710" s="87">
        <v>627000</v>
      </c>
      <c r="G3710" s="87">
        <v>893700</v>
      </c>
      <c r="H3710" s="88">
        <v>149100</v>
      </c>
    </row>
    <row r="3711" spans="1:8" ht="18" customHeight="1" x14ac:dyDescent="0.15">
      <c r="A3711" s="250"/>
      <c r="B3711" s="23" t="s">
        <v>740</v>
      </c>
      <c r="C3711" s="22">
        <v>0</v>
      </c>
      <c r="D3711" s="86">
        <v>0</v>
      </c>
      <c r="E3711" s="86">
        <v>0</v>
      </c>
      <c r="F3711" s="87">
        <v>0</v>
      </c>
      <c r="G3711" s="87">
        <v>0</v>
      </c>
      <c r="H3711" s="88">
        <v>0</v>
      </c>
    </row>
    <row r="3712" spans="1:8" ht="18" customHeight="1" x14ac:dyDescent="0.15">
      <c r="A3712" s="250"/>
      <c r="B3712" s="23" t="s">
        <v>741</v>
      </c>
      <c r="C3712" s="22">
        <v>4</v>
      </c>
      <c r="D3712" s="86">
        <v>81100</v>
      </c>
      <c r="E3712" s="86">
        <v>0</v>
      </c>
      <c r="F3712" s="87">
        <v>8700</v>
      </c>
      <c r="G3712" s="87">
        <v>72400</v>
      </c>
      <c r="H3712" s="88">
        <v>0</v>
      </c>
    </row>
    <row r="3713" spans="1:8" ht="18" customHeight="1" x14ac:dyDescent="0.15">
      <c r="A3713" s="250"/>
      <c r="B3713" s="23" t="s">
        <v>742</v>
      </c>
      <c r="C3713" s="22">
        <v>1</v>
      </c>
      <c r="D3713" s="86">
        <v>3000</v>
      </c>
      <c r="E3713" s="86">
        <v>100</v>
      </c>
      <c r="F3713" s="87">
        <v>500</v>
      </c>
      <c r="G3713" s="87">
        <v>1600</v>
      </c>
      <c r="H3713" s="88">
        <v>800</v>
      </c>
    </row>
    <row r="3714" spans="1:8" ht="18" customHeight="1" x14ac:dyDescent="0.15">
      <c r="A3714" s="251"/>
      <c r="B3714" s="23" t="s">
        <v>743</v>
      </c>
      <c r="C3714" s="22">
        <v>9</v>
      </c>
      <c r="D3714" s="86">
        <v>3391</v>
      </c>
      <c r="E3714" s="86">
        <v>466</v>
      </c>
      <c r="F3714" s="87">
        <v>0</v>
      </c>
      <c r="G3714" s="87">
        <v>2925</v>
      </c>
      <c r="H3714" s="88">
        <v>0</v>
      </c>
    </row>
    <row r="3715" spans="1:8" ht="18" customHeight="1" x14ac:dyDescent="0.15">
      <c r="A3715" s="18" t="s">
        <v>744</v>
      </c>
      <c r="B3715" s="17" t="s">
        <v>745</v>
      </c>
      <c r="C3715" s="16">
        <v>3367</v>
      </c>
      <c r="D3715" s="80">
        <v>15834361</v>
      </c>
      <c r="E3715" s="80">
        <v>792300</v>
      </c>
      <c r="F3715" s="81">
        <v>6825696</v>
      </c>
      <c r="G3715" s="81">
        <v>5853005</v>
      </c>
      <c r="H3715" s="82">
        <v>2363360</v>
      </c>
    </row>
    <row r="3716" spans="1:8" ht="13.5" x14ac:dyDescent="0.15">
      <c r="A3716" s="252" t="s">
        <v>746</v>
      </c>
      <c r="B3716" s="12" t="s">
        <v>747</v>
      </c>
      <c r="C3716" s="11">
        <v>5934</v>
      </c>
      <c r="D3716" s="89">
        <v>76278647</v>
      </c>
      <c r="E3716" s="89">
        <v>46715897</v>
      </c>
      <c r="F3716" s="90">
        <v>12483878</v>
      </c>
      <c r="G3716" s="90">
        <v>10840553</v>
      </c>
      <c r="H3716" s="91">
        <v>6238317</v>
      </c>
    </row>
    <row r="3717" spans="1:8" ht="18" customHeight="1" thickBot="1" x14ac:dyDescent="0.2">
      <c r="A3717" s="253"/>
      <c r="B3717" s="7" t="s">
        <v>748</v>
      </c>
      <c r="C3717" s="6">
        <v>4884</v>
      </c>
      <c r="D3717" s="92" t="s">
        <v>749</v>
      </c>
      <c r="E3717" s="92" t="s">
        <v>749</v>
      </c>
      <c r="F3717" s="92" t="s">
        <v>749</v>
      </c>
      <c r="G3717" s="92" t="s">
        <v>749</v>
      </c>
      <c r="H3717" s="93" t="s">
        <v>749</v>
      </c>
    </row>
    <row r="3718" spans="1:8" ht="18" customHeight="1" x14ac:dyDescent="0.15">
      <c r="A3718" s="3" t="s">
        <v>750</v>
      </c>
      <c r="B3718" s="2"/>
      <c r="C3718" s="2"/>
      <c r="D3718" s="2"/>
      <c r="E3718" s="2"/>
      <c r="F3718" s="2"/>
      <c r="G3718" s="2"/>
      <c r="H3718" s="2"/>
    </row>
    <row r="3719" spans="1:8" ht="24" x14ac:dyDescent="0.15">
      <c r="A3719" s="230" t="s">
        <v>651</v>
      </c>
      <c r="B3719" s="230"/>
      <c r="C3719" s="230"/>
      <c r="D3719" s="230"/>
      <c r="E3719" s="230"/>
      <c r="F3719" s="230"/>
      <c r="G3719" s="230"/>
      <c r="H3719" s="230"/>
    </row>
    <row r="3720" spans="1:8" ht="24" customHeight="1" x14ac:dyDescent="0.15">
      <c r="A3720" s="231"/>
      <c r="B3720" s="231"/>
      <c r="C3720" s="231"/>
      <c r="D3720" s="231"/>
      <c r="E3720" s="231"/>
      <c r="F3720" s="231"/>
      <c r="G3720" s="231"/>
      <c r="H3720" s="231"/>
    </row>
    <row r="3721" spans="1:8" ht="18" customHeight="1" thickBot="1" x14ac:dyDescent="0.2">
      <c r="A3721" s="58" t="s">
        <v>652</v>
      </c>
    </row>
    <row r="3722" spans="1:8" ht="14.25" x14ac:dyDescent="0.15">
      <c r="A3722" s="232" t="s">
        <v>653</v>
      </c>
      <c r="B3722" s="235" t="s">
        <v>654</v>
      </c>
      <c r="C3722" s="238" t="s">
        <v>655</v>
      </c>
      <c r="D3722" s="241" t="s">
        <v>656</v>
      </c>
      <c r="E3722" s="57"/>
      <c r="F3722" s="56"/>
      <c r="G3722" s="56"/>
      <c r="H3722" s="55"/>
    </row>
    <row r="3723" spans="1:8" ht="18" customHeight="1" x14ac:dyDescent="0.15">
      <c r="A3723" s="233"/>
      <c r="B3723" s="236"/>
      <c r="C3723" s="239"/>
      <c r="D3723" s="242"/>
      <c r="E3723" s="244" t="s">
        <v>657</v>
      </c>
      <c r="F3723" s="246" t="s">
        <v>658</v>
      </c>
      <c r="G3723" s="246" t="s">
        <v>659</v>
      </c>
      <c r="H3723" s="248" t="s">
        <v>660</v>
      </c>
    </row>
    <row r="3724" spans="1:8" ht="18" customHeight="1" thickBot="1" x14ac:dyDescent="0.2">
      <c r="A3724" s="234"/>
      <c r="B3724" s="237"/>
      <c r="C3724" s="240"/>
      <c r="D3724" s="243"/>
      <c r="E3724" s="245"/>
      <c r="F3724" s="247"/>
      <c r="G3724" s="247"/>
      <c r="H3724" s="249"/>
    </row>
    <row r="3725" spans="1:8" ht="15" thickTop="1" x14ac:dyDescent="0.15">
      <c r="A3725" s="54"/>
      <c r="B3725" s="53"/>
      <c r="C3725" s="52"/>
      <c r="D3725" s="51" t="s">
        <v>661</v>
      </c>
      <c r="E3725" s="50" t="s">
        <v>661</v>
      </c>
      <c r="F3725" s="49" t="s">
        <v>661</v>
      </c>
      <c r="G3725" s="49" t="s">
        <v>661</v>
      </c>
      <c r="H3725" s="48" t="s">
        <v>661</v>
      </c>
    </row>
    <row r="3726" spans="1:8" ht="18" customHeight="1" x14ac:dyDescent="0.15">
      <c r="A3726" s="250" t="s">
        <v>662</v>
      </c>
      <c r="B3726" s="61" t="s">
        <v>663</v>
      </c>
      <c r="C3726" s="62">
        <v>3661</v>
      </c>
      <c r="D3726" s="63">
        <v>591893877</v>
      </c>
      <c r="E3726" s="63">
        <v>222888757</v>
      </c>
      <c r="F3726" s="64">
        <v>182465575</v>
      </c>
      <c r="G3726" s="64">
        <v>180848490</v>
      </c>
      <c r="H3726" s="65">
        <v>5691054</v>
      </c>
    </row>
    <row r="3727" spans="1:8" ht="18" customHeight="1" x14ac:dyDescent="0.15">
      <c r="A3727" s="250"/>
      <c r="B3727" s="66" t="s">
        <v>664</v>
      </c>
      <c r="C3727" s="67">
        <v>31</v>
      </c>
      <c r="D3727" s="68">
        <v>323475</v>
      </c>
      <c r="E3727" s="68">
        <v>111841</v>
      </c>
      <c r="F3727" s="69">
        <v>162480</v>
      </c>
      <c r="G3727" s="69">
        <v>49154</v>
      </c>
      <c r="H3727" s="70">
        <v>0</v>
      </c>
    </row>
    <row r="3728" spans="1:8" ht="13.5" x14ac:dyDescent="0.15">
      <c r="A3728" s="250"/>
      <c r="B3728" s="66" t="s">
        <v>665</v>
      </c>
      <c r="C3728" s="67">
        <v>26</v>
      </c>
      <c r="D3728" s="68">
        <v>0</v>
      </c>
      <c r="E3728" s="68">
        <v>0</v>
      </c>
      <c r="F3728" s="69">
        <v>0</v>
      </c>
      <c r="G3728" s="69">
        <v>0</v>
      </c>
      <c r="H3728" s="70">
        <v>0</v>
      </c>
    </row>
    <row r="3729" spans="1:8" ht="18" customHeight="1" x14ac:dyDescent="0.15">
      <c r="A3729" s="250"/>
      <c r="B3729" s="71" t="s">
        <v>666</v>
      </c>
      <c r="C3729" s="72">
        <v>1</v>
      </c>
      <c r="D3729" s="73">
        <v>164590</v>
      </c>
      <c r="E3729" s="73">
        <v>122861</v>
      </c>
      <c r="F3729" s="74">
        <v>9855</v>
      </c>
      <c r="G3729" s="74">
        <v>30203</v>
      </c>
      <c r="H3729" s="75">
        <v>1670</v>
      </c>
    </row>
    <row r="3730" spans="1:8" ht="18" customHeight="1" x14ac:dyDescent="0.15">
      <c r="A3730" s="250"/>
      <c r="B3730" s="66" t="s">
        <v>667</v>
      </c>
      <c r="C3730" s="67">
        <v>60</v>
      </c>
      <c r="D3730" s="68">
        <v>12137189</v>
      </c>
      <c r="E3730" s="68">
        <v>3267144</v>
      </c>
      <c r="F3730" s="69">
        <v>3028481</v>
      </c>
      <c r="G3730" s="69">
        <v>5814822</v>
      </c>
      <c r="H3730" s="70">
        <v>26740</v>
      </c>
    </row>
    <row r="3731" spans="1:8" ht="13.5" x14ac:dyDescent="0.15">
      <c r="A3731" s="250"/>
      <c r="B3731" s="76" t="s">
        <v>668</v>
      </c>
      <c r="C3731" s="67">
        <v>155</v>
      </c>
      <c r="D3731" s="68">
        <v>20545552</v>
      </c>
      <c r="E3731" s="68">
        <v>3400626</v>
      </c>
      <c r="F3731" s="69">
        <v>1230491</v>
      </c>
      <c r="G3731" s="69">
        <v>15876383</v>
      </c>
      <c r="H3731" s="70">
        <v>38051</v>
      </c>
    </row>
    <row r="3732" spans="1:8" ht="18" customHeight="1" x14ac:dyDescent="0.15">
      <c r="A3732" s="251"/>
      <c r="B3732" s="77" t="s">
        <v>669</v>
      </c>
      <c r="C3732" s="72">
        <v>47</v>
      </c>
      <c r="D3732" s="73">
        <v>298591</v>
      </c>
      <c r="E3732" s="73">
        <v>270919</v>
      </c>
      <c r="F3732" s="74">
        <v>12356</v>
      </c>
      <c r="G3732" s="74">
        <v>13333</v>
      </c>
      <c r="H3732" s="75">
        <v>1982</v>
      </c>
    </row>
    <row r="3733" spans="1:8" ht="18" customHeight="1" x14ac:dyDescent="0.15">
      <c r="A3733" s="30" t="s">
        <v>670</v>
      </c>
      <c r="B3733" s="78" t="s">
        <v>671</v>
      </c>
      <c r="C3733" s="79">
        <v>34</v>
      </c>
      <c r="D3733" s="80">
        <v>98684</v>
      </c>
      <c r="E3733" s="80">
        <v>97071</v>
      </c>
      <c r="F3733" s="81">
        <v>1380</v>
      </c>
      <c r="G3733" s="81">
        <v>0</v>
      </c>
      <c r="H3733" s="82">
        <v>232</v>
      </c>
    </row>
    <row r="3734" spans="1:8" ht="13.5" x14ac:dyDescent="0.15">
      <c r="A3734" s="252" t="s">
        <v>672</v>
      </c>
      <c r="B3734" s="17" t="s">
        <v>673</v>
      </c>
      <c r="C3734" s="16">
        <v>3061</v>
      </c>
      <c r="D3734" s="83">
        <v>59563154</v>
      </c>
      <c r="E3734" s="83">
        <v>9073582</v>
      </c>
      <c r="F3734" s="84">
        <v>7942561</v>
      </c>
      <c r="G3734" s="84">
        <v>34853258</v>
      </c>
      <c r="H3734" s="85">
        <v>7693751</v>
      </c>
    </row>
    <row r="3735" spans="1:8" ht="18" customHeight="1" x14ac:dyDescent="0.15">
      <c r="A3735" s="250"/>
      <c r="B3735" s="23" t="s">
        <v>674</v>
      </c>
      <c r="C3735" s="22">
        <v>2955</v>
      </c>
      <c r="D3735" s="86">
        <v>14403532</v>
      </c>
      <c r="E3735" s="86">
        <v>624216</v>
      </c>
      <c r="F3735" s="87">
        <v>3048884</v>
      </c>
      <c r="G3735" s="87">
        <v>8786614</v>
      </c>
      <c r="H3735" s="88">
        <v>1943816</v>
      </c>
    </row>
    <row r="3736" spans="1:8" ht="18" customHeight="1" x14ac:dyDescent="0.15">
      <c r="A3736" s="250"/>
      <c r="B3736" s="24" t="s">
        <v>675</v>
      </c>
      <c r="C3736" s="22">
        <v>611</v>
      </c>
      <c r="D3736" s="86">
        <v>33579020</v>
      </c>
      <c r="E3736" s="86">
        <v>2167331</v>
      </c>
      <c r="F3736" s="87">
        <v>5746413</v>
      </c>
      <c r="G3736" s="87">
        <v>19060464</v>
      </c>
      <c r="H3736" s="88">
        <v>6604812</v>
      </c>
    </row>
    <row r="3737" spans="1:8" ht="18" customHeight="1" x14ac:dyDescent="0.15">
      <c r="A3737" s="250"/>
      <c r="B3737" s="23" t="s">
        <v>676</v>
      </c>
      <c r="C3737" s="22">
        <v>1508</v>
      </c>
      <c r="D3737" s="86">
        <v>45367500</v>
      </c>
      <c r="E3737" s="86">
        <v>4068217</v>
      </c>
      <c r="F3737" s="87">
        <v>7612598</v>
      </c>
      <c r="G3737" s="87">
        <v>29921098</v>
      </c>
      <c r="H3737" s="88">
        <v>3765585</v>
      </c>
    </row>
    <row r="3738" spans="1:8" ht="18" customHeight="1" x14ac:dyDescent="0.15">
      <c r="A3738" s="250"/>
      <c r="B3738" s="23" t="s">
        <v>677</v>
      </c>
      <c r="C3738" s="22">
        <v>209</v>
      </c>
      <c r="D3738" s="86">
        <v>4078300</v>
      </c>
      <c r="E3738" s="86">
        <v>156923</v>
      </c>
      <c r="F3738" s="87">
        <v>133060</v>
      </c>
      <c r="G3738" s="87">
        <v>3745224</v>
      </c>
      <c r="H3738" s="88">
        <v>43090</v>
      </c>
    </row>
    <row r="3739" spans="1:8" ht="18" customHeight="1" x14ac:dyDescent="0.15">
      <c r="A3739" s="250"/>
      <c r="B3739" s="23" t="s">
        <v>678</v>
      </c>
      <c r="C3739" s="22">
        <v>103</v>
      </c>
      <c r="D3739" s="86">
        <v>1022100</v>
      </c>
      <c r="E3739" s="86">
        <v>229550</v>
      </c>
      <c r="F3739" s="87">
        <v>55200</v>
      </c>
      <c r="G3739" s="87">
        <v>485570</v>
      </c>
      <c r="H3739" s="88">
        <v>251780</v>
      </c>
    </row>
    <row r="3740" spans="1:8" ht="18" customHeight="1" x14ac:dyDescent="0.15">
      <c r="A3740" s="250"/>
      <c r="B3740" s="23" t="s">
        <v>679</v>
      </c>
      <c r="C3740" s="22">
        <v>32</v>
      </c>
      <c r="D3740" s="86">
        <v>273021</v>
      </c>
      <c r="E3740" s="86">
        <v>119212</v>
      </c>
      <c r="F3740" s="87">
        <v>16517</v>
      </c>
      <c r="G3740" s="87">
        <v>87097</v>
      </c>
      <c r="H3740" s="88">
        <v>50194</v>
      </c>
    </row>
    <row r="3741" spans="1:8" ht="18" customHeight="1" x14ac:dyDescent="0.15">
      <c r="A3741" s="250"/>
      <c r="B3741" s="23" t="s">
        <v>680</v>
      </c>
      <c r="C3741" s="22">
        <v>0</v>
      </c>
      <c r="D3741" s="86">
        <v>0</v>
      </c>
      <c r="E3741" s="86">
        <v>0</v>
      </c>
      <c r="F3741" s="87">
        <v>0</v>
      </c>
      <c r="G3741" s="87">
        <v>0</v>
      </c>
      <c r="H3741" s="88">
        <v>0</v>
      </c>
    </row>
    <row r="3742" spans="1:8" ht="18" customHeight="1" x14ac:dyDescent="0.15">
      <c r="A3742" s="250"/>
      <c r="B3742" s="23" t="s">
        <v>681</v>
      </c>
      <c r="C3742" s="22">
        <v>250</v>
      </c>
      <c r="D3742" s="86">
        <v>10452640</v>
      </c>
      <c r="E3742" s="86">
        <v>801850</v>
      </c>
      <c r="F3742" s="87">
        <v>3013260</v>
      </c>
      <c r="G3742" s="87">
        <v>3871860</v>
      </c>
      <c r="H3742" s="88">
        <v>2765670</v>
      </c>
    </row>
    <row r="3743" spans="1:8" ht="18" customHeight="1" x14ac:dyDescent="0.15">
      <c r="A3743" s="250"/>
      <c r="B3743" s="23" t="s">
        <v>682</v>
      </c>
      <c r="C3743" s="22">
        <v>2992</v>
      </c>
      <c r="D3743" s="86">
        <v>61642726</v>
      </c>
      <c r="E3743" s="86">
        <v>12986019</v>
      </c>
      <c r="F3743" s="87">
        <v>9626933</v>
      </c>
      <c r="G3743" s="87">
        <v>32760738</v>
      </c>
      <c r="H3743" s="88">
        <v>6269034</v>
      </c>
    </row>
    <row r="3744" spans="1:8" ht="13.5" x14ac:dyDescent="0.15">
      <c r="A3744" s="250"/>
      <c r="B3744" s="23" t="s">
        <v>683</v>
      </c>
      <c r="C3744" s="22">
        <v>602</v>
      </c>
      <c r="D3744" s="86">
        <v>16230425</v>
      </c>
      <c r="E3744" s="86">
        <v>1837645</v>
      </c>
      <c r="F3744" s="87">
        <v>3464725</v>
      </c>
      <c r="G3744" s="87">
        <v>9650192</v>
      </c>
      <c r="H3744" s="88">
        <v>1277861</v>
      </c>
    </row>
    <row r="3745" spans="1:8" ht="18" customHeight="1" x14ac:dyDescent="0.15">
      <c r="A3745" s="250"/>
      <c r="B3745" s="23" t="s">
        <v>684</v>
      </c>
      <c r="C3745" s="22">
        <v>44212</v>
      </c>
      <c r="D3745" s="86">
        <v>14186471</v>
      </c>
      <c r="E3745" s="86">
        <v>561828</v>
      </c>
      <c r="F3745" s="87">
        <v>6818147</v>
      </c>
      <c r="G3745" s="87">
        <v>6464994</v>
      </c>
      <c r="H3745" s="88">
        <v>341500</v>
      </c>
    </row>
    <row r="3746" spans="1:8" ht="18" customHeight="1" x14ac:dyDescent="0.15">
      <c r="A3746" s="250"/>
      <c r="B3746" s="23" t="s">
        <v>685</v>
      </c>
      <c r="C3746" s="22">
        <v>814</v>
      </c>
      <c r="D3746" s="86">
        <v>3636044</v>
      </c>
      <c r="E3746" s="86">
        <v>5761</v>
      </c>
      <c r="F3746" s="87">
        <v>2199276</v>
      </c>
      <c r="G3746" s="87">
        <v>1431007</v>
      </c>
      <c r="H3746" s="88">
        <v>0</v>
      </c>
    </row>
    <row r="3747" spans="1:8" ht="18" customHeight="1" x14ac:dyDescent="0.15">
      <c r="A3747" s="250"/>
      <c r="B3747" s="23" t="s">
        <v>686</v>
      </c>
      <c r="C3747" s="22">
        <v>47</v>
      </c>
      <c r="D3747" s="86">
        <v>608500</v>
      </c>
      <c r="E3747" s="86">
        <v>170429</v>
      </c>
      <c r="F3747" s="87">
        <v>82501</v>
      </c>
      <c r="G3747" s="87">
        <v>302170</v>
      </c>
      <c r="H3747" s="88">
        <v>53400</v>
      </c>
    </row>
    <row r="3748" spans="1:8" ht="18" customHeight="1" x14ac:dyDescent="0.15">
      <c r="A3748" s="250"/>
      <c r="B3748" s="23" t="s">
        <v>687</v>
      </c>
      <c r="C3748" s="22">
        <v>416</v>
      </c>
      <c r="D3748" s="86">
        <v>2089533</v>
      </c>
      <c r="E3748" s="86">
        <v>194380</v>
      </c>
      <c r="F3748" s="87">
        <v>1076343</v>
      </c>
      <c r="G3748" s="87">
        <v>743009</v>
      </c>
      <c r="H3748" s="88">
        <v>75800</v>
      </c>
    </row>
    <row r="3749" spans="1:8" ht="18" customHeight="1" x14ac:dyDescent="0.15">
      <c r="A3749" s="250"/>
      <c r="B3749" s="23" t="s">
        <v>688</v>
      </c>
      <c r="C3749" s="22">
        <v>304</v>
      </c>
      <c r="D3749" s="86">
        <v>8124000</v>
      </c>
      <c r="E3749" s="86">
        <v>877255</v>
      </c>
      <c r="F3749" s="87">
        <v>1593954</v>
      </c>
      <c r="G3749" s="87">
        <v>5178003</v>
      </c>
      <c r="H3749" s="88">
        <v>474787</v>
      </c>
    </row>
    <row r="3750" spans="1:8" ht="13.5" x14ac:dyDescent="0.15">
      <c r="A3750" s="250"/>
      <c r="B3750" s="23" t="s">
        <v>689</v>
      </c>
      <c r="C3750" s="22">
        <v>42</v>
      </c>
      <c r="D3750" s="86">
        <v>1862200</v>
      </c>
      <c r="E3750" s="86">
        <v>192400</v>
      </c>
      <c r="F3750" s="87">
        <v>627000</v>
      </c>
      <c r="G3750" s="87">
        <v>893700</v>
      </c>
      <c r="H3750" s="88">
        <v>149100</v>
      </c>
    </row>
    <row r="3751" spans="1:8" ht="18" customHeight="1" x14ac:dyDescent="0.15">
      <c r="A3751" s="250"/>
      <c r="B3751" s="23" t="s">
        <v>690</v>
      </c>
      <c r="C3751" s="22">
        <v>0</v>
      </c>
      <c r="D3751" s="86">
        <v>0</v>
      </c>
      <c r="E3751" s="86">
        <v>0</v>
      </c>
      <c r="F3751" s="87">
        <v>0</v>
      </c>
      <c r="G3751" s="87">
        <v>0</v>
      </c>
      <c r="H3751" s="88">
        <v>0</v>
      </c>
    </row>
    <row r="3752" spans="1:8" ht="18" customHeight="1" x14ac:dyDescent="0.15">
      <c r="A3752" s="250"/>
      <c r="B3752" s="23" t="s">
        <v>691</v>
      </c>
      <c r="C3752" s="22">
        <v>8</v>
      </c>
      <c r="D3752" s="86">
        <v>192800</v>
      </c>
      <c r="E3752" s="86">
        <v>0</v>
      </c>
      <c r="F3752" s="87">
        <v>71700</v>
      </c>
      <c r="G3752" s="87">
        <v>120000</v>
      </c>
      <c r="H3752" s="88">
        <v>1100</v>
      </c>
    </row>
    <row r="3753" spans="1:8" ht="18" customHeight="1" x14ac:dyDescent="0.15">
      <c r="A3753" s="250"/>
      <c r="B3753" s="23" t="s">
        <v>692</v>
      </c>
      <c r="C3753" s="22">
        <v>1</v>
      </c>
      <c r="D3753" s="86">
        <v>3000</v>
      </c>
      <c r="E3753" s="86">
        <v>400</v>
      </c>
      <c r="F3753" s="87">
        <v>500</v>
      </c>
      <c r="G3753" s="87">
        <v>1300</v>
      </c>
      <c r="H3753" s="88">
        <v>800</v>
      </c>
    </row>
    <row r="3754" spans="1:8" ht="18" customHeight="1" x14ac:dyDescent="0.15">
      <c r="A3754" s="251"/>
      <c r="B3754" s="23" t="s">
        <v>693</v>
      </c>
      <c r="C3754" s="22">
        <v>9</v>
      </c>
      <c r="D3754" s="86">
        <v>3391</v>
      </c>
      <c r="E3754" s="86">
        <v>466</v>
      </c>
      <c r="F3754" s="87">
        <v>0</v>
      </c>
      <c r="G3754" s="87">
        <v>2925</v>
      </c>
      <c r="H3754" s="88">
        <v>0</v>
      </c>
    </row>
    <row r="3755" spans="1:8" ht="18" customHeight="1" x14ac:dyDescent="0.15">
      <c r="A3755" s="18" t="s">
        <v>694</v>
      </c>
      <c r="B3755" s="17" t="s">
        <v>695</v>
      </c>
      <c r="C3755" s="16">
        <v>3508</v>
      </c>
      <c r="D3755" s="80">
        <v>14888936</v>
      </c>
      <c r="E3755" s="80">
        <v>783100</v>
      </c>
      <c r="F3755" s="81">
        <v>6769290</v>
      </c>
      <c r="G3755" s="81">
        <v>5333346</v>
      </c>
      <c r="H3755" s="82">
        <v>2003200</v>
      </c>
    </row>
    <row r="3756" spans="1:8" ht="13.5" x14ac:dyDescent="0.15">
      <c r="A3756" s="252" t="s">
        <v>696</v>
      </c>
      <c r="B3756" s="12" t="s">
        <v>697</v>
      </c>
      <c r="C3756" s="11">
        <v>5905</v>
      </c>
      <c r="D3756" s="89">
        <v>76599738</v>
      </c>
      <c r="E3756" s="89">
        <v>46646853</v>
      </c>
      <c r="F3756" s="90">
        <v>12711658</v>
      </c>
      <c r="G3756" s="90">
        <v>10995165</v>
      </c>
      <c r="H3756" s="91">
        <v>6246060</v>
      </c>
    </row>
    <row r="3757" spans="1:8" ht="18" customHeight="1" thickBot="1" x14ac:dyDescent="0.2">
      <c r="A3757" s="253"/>
      <c r="B3757" s="7" t="s">
        <v>698</v>
      </c>
      <c r="C3757" s="6">
        <v>4835</v>
      </c>
      <c r="D3757" s="92" t="s">
        <v>699</v>
      </c>
      <c r="E3757" s="92" t="s">
        <v>699</v>
      </c>
      <c r="F3757" s="92" t="s">
        <v>699</v>
      </c>
      <c r="G3757" s="92" t="s">
        <v>699</v>
      </c>
      <c r="H3757" s="93" t="s">
        <v>699</v>
      </c>
    </row>
    <row r="3758" spans="1:8" ht="18" customHeight="1" x14ac:dyDescent="0.15">
      <c r="A3758" s="3" t="s">
        <v>700</v>
      </c>
      <c r="B3758" s="2"/>
      <c r="C3758" s="2"/>
      <c r="D3758" s="2"/>
      <c r="E3758" s="2"/>
      <c r="F3758" s="2"/>
      <c r="G3758" s="2"/>
      <c r="H3758" s="2"/>
    </row>
    <row r="3759" spans="1:8" ht="24" x14ac:dyDescent="0.15">
      <c r="A3759" s="230" t="s">
        <v>601</v>
      </c>
      <c r="B3759" s="230"/>
      <c r="C3759" s="230"/>
      <c r="D3759" s="230"/>
      <c r="E3759" s="230"/>
      <c r="F3759" s="230"/>
      <c r="G3759" s="230"/>
      <c r="H3759" s="230"/>
    </row>
    <row r="3760" spans="1:8" ht="24" customHeight="1" x14ac:dyDescent="0.15">
      <c r="A3760" s="231"/>
      <c r="B3760" s="231"/>
      <c r="C3760" s="231"/>
      <c r="D3760" s="231"/>
      <c r="E3760" s="231"/>
      <c r="F3760" s="231"/>
      <c r="G3760" s="231"/>
      <c r="H3760" s="231"/>
    </row>
    <row r="3761" spans="1:8" ht="18" customHeight="1" thickBot="1" x14ac:dyDescent="0.2">
      <c r="A3761" s="58" t="s">
        <v>602</v>
      </c>
    </row>
    <row r="3762" spans="1:8" ht="14.25" x14ac:dyDescent="0.15">
      <c r="A3762" s="232" t="s">
        <v>603</v>
      </c>
      <c r="B3762" s="235" t="s">
        <v>604</v>
      </c>
      <c r="C3762" s="238" t="s">
        <v>605</v>
      </c>
      <c r="D3762" s="241" t="s">
        <v>606</v>
      </c>
      <c r="E3762" s="57"/>
      <c r="F3762" s="56"/>
      <c r="G3762" s="56"/>
      <c r="H3762" s="55"/>
    </row>
    <row r="3763" spans="1:8" ht="18" customHeight="1" x14ac:dyDescent="0.15">
      <c r="A3763" s="233"/>
      <c r="B3763" s="236"/>
      <c r="C3763" s="239"/>
      <c r="D3763" s="242"/>
      <c r="E3763" s="244" t="s">
        <v>607</v>
      </c>
      <c r="F3763" s="246" t="s">
        <v>608</v>
      </c>
      <c r="G3763" s="246" t="s">
        <v>609</v>
      </c>
      <c r="H3763" s="248" t="s">
        <v>610</v>
      </c>
    </row>
    <row r="3764" spans="1:8" ht="18" customHeight="1" thickBot="1" x14ac:dyDescent="0.2">
      <c r="A3764" s="234"/>
      <c r="B3764" s="237"/>
      <c r="C3764" s="240"/>
      <c r="D3764" s="243"/>
      <c r="E3764" s="245"/>
      <c r="F3764" s="247"/>
      <c r="G3764" s="247"/>
      <c r="H3764" s="249"/>
    </row>
    <row r="3765" spans="1:8" ht="15" thickTop="1" x14ac:dyDescent="0.15">
      <c r="A3765" s="54"/>
      <c r="B3765" s="53"/>
      <c r="C3765" s="52"/>
      <c r="D3765" s="51" t="s">
        <v>611</v>
      </c>
      <c r="E3765" s="50" t="s">
        <v>611</v>
      </c>
      <c r="F3765" s="49" t="s">
        <v>611</v>
      </c>
      <c r="G3765" s="49" t="s">
        <v>611</v>
      </c>
      <c r="H3765" s="48" t="s">
        <v>611</v>
      </c>
    </row>
    <row r="3766" spans="1:8" ht="18" customHeight="1" x14ac:dyDescent="0.15">
      <c r="A3766" s="250" t="s">
        <v>612</v>
      </c>
      <c r="B3766" s="61" t="s">
        <v>613</v>
      </c>
      <c r="C3766" s="62">
        <v>3650</v>
      </c>
      <c r="D3766" s="63">
        <v>571921155</v>
      </c>
      <c r="E3766" s="63">
        <v>215876525</v>
      </c>
      <c r="F3766" s="64">
        <v>175672967</v>
      </c>
      <c r="G3766" s="64">
        <v>174869156</v>
      </c>
      <c r="H3766" s="65">
        <v>5502506</v>
      </c>
    </row>
    <row r="3767" spans="1:8" ht="18" customHeight="1" x14ac:dyDescent="0.15">
      <c r="A3767" s="250"/>
      <c r="B3767" s="66" t="s">
        <v>614</v>
      </c>
      <c r="C3767" s="67">
        <v>32</v>
      </c>
      <c r="D3767" s="68">
        <v>330472</v>
      </c>
      <c r="E3767" s="68">
        <v>121760</v>
      </c>
      <c r="F3767" s="69">
        <v>161028</v>
      </c>
      <c r="G3767" s="69">
        <v>47683</v>
      </c>
      <c r="H3767" s="70">
        <v>0</v>
      </c>
    </row>
    <row r="3768" spans="1:8" ht="13.5" x14ac:dyDescent="0.15">
      <c r="A3768" s="250"/>
      <c r="B3768" s="66" t="s">
        <v>615</v>
      </c>
      <c r="C3768" s="67">
        <v>27</v>
      </c>
      <c r="D3768" s="68">
        <v>0</v>
      </c>
      <c r="E3768" s="68">
        <v>0</v>
      </c>
      <c r="F3768" s="69">
        <v>0</v>
      </c>
      <c r="G3768" s="69">
        <v>0</v>
      </c>
      <c r="H3768" s="70">
        <v>0</v>
      </c>
    </row>
    <row r="3769" spans="1:8" ht="18" customHeight="1" x14ac:dyDescent="0.15">
      <c r="A3769" s="250"/>
      <c r="B3769" s="71" t="s">
        <v>616</v>
      </c>
      <c r="C3769" s="72">
        <v>1</v>
      </c>
      <c r="D3769" s="73">
        <v>162749</v>
      </c>
      <c r="E3769" s="73">
        <v>121449</v>
      </c>
      <c r="F3769" s="74">
        <v>9789</v>
      </c>
      <c r="G3769" s="74">
        <v>29868</v>
      </c>
      <c r="H3769" s="75">
        <v>1641</v>
      </c>
    </row>
    <row r="3770" spans="1:8" ht="18" customHeight="1" x14ac:dyDescent="0.15">
      <c r="A3770" s="250"/>
      <c r="B3770" s="66" t="s">
        <v>617</v>
      </c>
      <c r="C3770" s="67">
        <v>59</v>
      </c>
      <c r="D3770" s="68">
        <v>11636214</v>
      </c>
      <c r="E3770" s="68">
        <v>3154797</v>
      </c>
      <c r="F3770" s="69">
        <v>2901521</v>
      </c>
      <c r="G3770" s="69">
        <v>5547288</v>
      </c>
      <c r="H3770" s="70">
        <v>32606</v>
      </c>
    </row>
    <row r="3771" spans="1:8" ht="13.5" x14ac:dyDescent="0.15">
      <c r="A3771" s="250"/>
      <c r="B3771" s="76" t="s">
        <v>618</v>
      </c>
      <c r="C3771" s="67">
        <v>155</v>
      </c>
      <c r="D3771" s="68">
        <v>19407723</v>
      </c>
      <c r="E3771" s="68">
        <v>3337120</v>
      </c>
      <c r="F3771" s="69">
        <v>1197078</v>
      </c>
      <c r="G3771" s="69">
        <v>14819028</v>
      </c>
      <c r="H3771" s="70">
        <v>54495</v>
      </c>
    </row>
    <row r="3772" spans="1:8" ht="18" customHeight="1" x14ac:dyDescent="0.15">
      <c r="A3772" s="251"/>
      <c r="B3772" s="77" t="s">
        <v>619</v>
      </c>
      <c r="C3772" s="72">
        <v>47</v>
      </c>
      <c r="D3772" s="73">
        <v>280884</v>
      </c>
      <c r="E3772" s="73">
        <v>256910</v>
      </c>
      <c r="F3772" s="74">
        <v>9134</v>
      </c>
      <c r="G3772" s="74">
        <v>12792</v>
      </c>
      <c r="H3772" s="75">
        <v>2047</v>
      </c>
    </row>
    <row r="3773" spans="1:8" ht="18" customHeight="1" x14ac:dyDescent="0.15">
      <c r="A3773" s="30" t="s">
        <v>620</v>
      </c>
      <c r="B3773" s="78" t="s">
        <v>621</v>
      </c>
      <c r="C3773" s="79">
        <v>35</v>
      </c>
      <c r="D3773" s="80">
        <v>142157</v>
      </c>
      <c r="E3773" s="80">
        <v>140266</v>
      </c>
      <c r="F3773" s="81">
        <v>1160</v>
      </c>
      <c r="G3773" s="81">
        <v>6</v>
      </c>
      <c r="H3773" s="82">
        <v>724</v>
      </c>
    </row>
    <row r="3774" spans="1:8" ht="13.5" x14ac:dyDescent="0.15">
      <c r="A3774" s="252" t="s">
        <v>622</v>
      </c>
      <c r="B3774" s="17" t="s">
        <v>623</v>
      </c>
      <c r="C3774" s="16">
        <v>3072</v>
      </c>
      <c r="D3774" s="83">
        <v>59827624</v>
      </c>
      <c r="E3774" s="83">
        <v>9105216</v>
      </c>
      <c r="F3774" s="84">
        <v>7802212</v>
      </c>
      <c r="G3774" s="84">
        <v>35239536</v>
      </c>
      <c r="H3774" s="85">
        <v>7680658</v>
      </c>
    </row>
    <row r="3775" spans="1:8" ht="18" customHeight="1" x14ac:dyDescent="0.15">
      <c r="A3775" s="250"/>
      <c r="B3775" s="23" t="s">
        <v>624</v>
      </c>
      <c r="C3775" s="22">
        <v>2935</v>
      </c>
      <c r="D3775" s="86">
        <v>14340561</v>
      </c>
      <c r="E3775" s="86">
        <v>616539</v>
      </c>
      <c r="F3775" s="87">
        <v>3007938</v>
      </c>
      <c r="G3775" s="87">
        <v>8780077</v>
      </c>
      <c r="H3775" s="88">
        <v>1936006</v>
      </c>
    </row>
    <row r="3776" spans="1:8" ht="18" customHeight="1" x14ac:dyDescent="0.15">
      <c r="A3776" s="250"/>
      <c r="B3776" s="24" t="s">
        <v>625</v>
      </c>
      <c r="C3776" s="22">
        <v>611</v>
      </c>
      <c r="D3776" s="86">
        <v>33744020</v>
      </c>
      <c r="E3776" s="86">
        <v>2190865</v>
      </c>
      <c r="F3776" s="87">
        <v>5635787</v>
      </c>
      <c r="G3776" s="87">
        <v>19364726</v>
      </c>
      <c r="H3776" s="88">
        <v>6552642</v>
      </c>
    </row>
    <row r="3777" spans="1:8" ht="18" customHeight="1" x14ac:dyDescent="0.15">
      <c r="A3777" s="250"/>
      <c r="B3777" s="23" t="s">
        <v>626</v>
      </c>
      <c r="C3777" s="22">
        <v>1517</v>
      </c>
      <c r="D3777" s="86">
        <v>45450700</v>
      </c>
      <c r="E3777" s="86">
        <v>4038197</v>
      </c>
      <c r="F3777" s="87">
        <v>7605548</v>
      </c>
      <c r="G3777" s="87">
        <v>30021998</v>
      </c>
      <c r="H3777" s="88">
        <v>3784955</v>
      </c>
    </row>
    <row r="3778" spans="1:8" ht="18" customHeight="1" x14ac:dyDescent="0.15">
      <c r="A3778" s="250"/>
      <c r="B3778" s="23" t="s">
        <v>627</v>
      </c>
      <c r="C3778" s="22">
        <v>205</v>
      </c>
      <c r="D3778" s="86">
        <v>4067900</v>
      </c>
      <c r="E3778" s="86">
        <v>153153</v>
      </c>
      <c r="F3778" s="87">
        <v>141645</v>
      </c>
      <c r="G3778" s="87">
        <v>3729123</v>
      </c>
      <c r="H3778" s="88">
        <v>43977</v>
      </c>
    </row>
    <row r="3779" spans="1:8" ht="18" customHeight="1" x14ac:dyDescent="0.15">
      <c r="A3779" s="250"/>
      <c r="B3779" s="23" t="s">
        <v>628</v>
      </c>
      <c r="C3779" s="22">
        <v>106</v>
      </c>
      <c r="D3779" s="86">
        <v>1058600</v>
      </c>
      <c r="E3779" s="86">
        <v>231950</v>
      </c>
      <c r="F3779" s="87">
        <v>55900</v>
      </c>
      <c r="G3779" s="87">
        <v>510320</v>
      </c>
      <c r="H3779" s="88">
        <v>260430</v>
      </c>
    </row>
    <row r="3780" spans="1:8" ht="18" customHeight="1" x14ac:dyDescent="0.15">
      <c r="A3780" s="250"/>
      <c r="B3780" s="23" t="s">
        <v>629</v>
      </c>
      <c r="C3780" s="22">
        <v>32</v>
      </c>
      <c r="D3780" s="86">
        <v>273021</v>
      </c>
      <c r="E3780" s="86">
        <v>119212</v>
      </c>
      <c r="F3780" s="87">
        <v>16517</v>
      </c>
      <c r="G3780" s="87">
        <v>89017</v>
      </c>
      <c r="H3780" s="88">
        <v>48274</v>
      </c>
    </row>
    <row r="3781" spans="1:8" ht="18" customHeight="1" x14ac:dyDescent="0.15">
      <c r="A3781" s="250"/>
      <c r="B3781" s="23" t="s">
        <v>630</v>
      </c>
      <c r="C3781" s="22">
        <v>0</v>
      </c>
      <c r="D3781" s="86">
        <v>0</v>
      </c>
      <c r="E3781" s="86">
        <v>0</v>
      </c>
      <c r="F3781" s="87">
        <v>0</v>
      </c>
      <c r="G3781" s="87">
        <v>0</v>
      </c>
      <c r="H3781" s="88">
        <v>0</v>
      </c>
    </row>
    <row r="3782" spans="1:8" ht="18" customHeight="1" x14ac:dyDescent="0.15">
      <c r="A3782" s="250"/>
      <c r="B3782" s="23" t="s">
        <v>631</v>
      </c>
      <c r="C3782" s="22">
        <v>251</v>
      </c>
      <c r="D3782" s="86">
        <v>10529350</v>
      </c>
      <c r="E3782" s="86">
        <v>803680</v>
      </c>
      <c r="F3782" s="87">
        <v>3011600</v>
      </c>
      <c r="G3782" s="87">
        <v>3903830</v>
      </c>
      <c r="H3782" s="88">
        <v>2810240</v>
      </c>
    </row>
    <row r="3783" spans="1:8" ht="18" customHeight="1" x14ac:dyDescent="0.15">
      <c r="A3783" s="250"/>
      <c r="B3783" s="23" t="s">
        <v>632</v>
      </c>
      <c r="C3783" s="22">
        <v>2983</v>
      </c>
      <c r="D3783" s="86">
        <v>61970683</v>
      </c>
      <c r="E3783" s="86">
        <v>13183596</v>
      </c>
      <c r="F3783" s="87">
        <v>9689480</v>
      </c>
      <c r="G3783" s="87">
        <v>32835710</v>
      </c>
      <c r="H3783" s="88">
        <v>6261895</v>
      </c>
    </row>
    <row r="3784" spans="1:8" ht="13.5" x14ac:dyDescent="0.15">
      <c r="A3784" s="250"/>
      <c r="B3784" s="23" t="s">
        <v>633</v>
      </c>
      <c r="C3784" s="22">
        <v>594</v>
      </c>
      <c r="D3784" s="86">
        <v>16190425</v>
      </c>
      <c r="E3784" s="86">
        <v>1816904</v>
      </c>
      <c r="F3784" s="87">
        <v>3447689</v>
      </c>
      <c r="G3784" s="87">
        <v>9655237</v>
      </c>
      <c r="H3784" s="88">
        <v>1270594</v>
      </c>
    </row>
    <row r="3785" spans="1:8" ht="18" customHeight="1" x14ac:dyDescent="0.15">
      <c r="A3785" s="250"/>
      <c r="B3785" s="23" t="s">
        <v>634</v>
      </c>
      <c r="C3785" s="22">
        <v>43616</v>
      </c>
      <c r="D3785" s="86">
        <v>13959842</v>
      </c>
      <c r="E3785" s="86">
        <v>502228</v>
      </c>
      <c r="F3785" s="87">
        <v>6862620</v>
      </c>
      <c r="G3785" s="87">
        <v>6285742</v>
      </c>
      <c r="H3785" s="88">
        <v>309250</v>
      </c>
    </row>
    <row r="3786" spans="1:8" ht="18" customHeight="1" x14ac:dyDescent="0.15">
      <c r="A3786" s="250"/>
      <c r="B3786" s="23" t="s">
        <v>635</v>
      </c>
      <c r="C3786" s="22">
        <v>770</v>
      </c>
      <c r="D3786" s="86">
        <v>3636373</v>
      </c>
      <c r="E3786" s="86">
        <v>5761</v>
      </c>
      <c r="F3786" s="87">
        <v>2198776</v>
      </c>
      <c r="G3786" s="87">
        <v>1431836</v>
      </c>
      <c r="H3786" s="88">
        <v>0</v>
      </c>
    </row>
    <row r="3787" spans="1:8" ht="18" customHeight="1" x14ac:dyDescent="0.15">
      <c r="A3787" s="250"/>
      <c r="B3787" s="23" t="s">
        <v>636</v>
      </c>
      <c r="C3787" s="22">
        <v>47</v>
      </c>
      <c r="D3787" s="86">
        <v>610500</v>
      </c>
      <c r="E3787" s="86">
        <v>171630</v>
      </c>
      <c r="F3787" s="87">
        <v>79101</v>
      </c>
      <c r="G3787" s="87">
        <v>305869</v>
      </c>
      <c r="H3787" s="88">
        <v>53900</v>
      </c>
    </row>
    <row r="3788" spans="1:8" ht="18" customHeight="1" x14ac:dyDescent="0.15">
      <c r="A3788" s="250"/>
      <c r="B3788" s="23" t="s">
        <v>637</v>
      </c>
      <c r="C3788" s="22">
        <v>411</v>
      </c>
      <c r="D3788" s="86">
        <v>2074097</v>
      </c>
      <c r="E3788" s="86">
        <v>198914</v>
      </c>
      <c r="F3788" s="87">
        <v>1044794</v>
      </c>
      <c r="G3788" s="87">
        <v>754588</v>
      </c>
      <c r="H3788" s="88">
        <v>75800</v>
      </c>
    </row>
    <row r="3789" spans="1:8" ht="18" customHeight="1" x14ac:dyDescent="0.15">
      <c r="A3789" s="250"/>
      <c r="B3789" s="23" t="s">
        <v>638</v>
      </c>
      <c r="C3789" s="22">
        <v>309</v>
      </c>
      <c r="D3789" s="86">
        <v>8256300</v>
      </c>
      <c r="E3789" s="86">
        <v>887221</v>
      </c>
      <c r="F3789" s="87">
        <v>1613088</v>
      </c>
      <c r="G3789" s="87">
        <v>5279303</v>
      </c>
      <c r="H3789" s="88">
        <v>476687</v>
      </c>
    </row>
    <row r="3790" spans="1:8" ht="13.5" x14ac:dyDescent="0.15">
      <c r="A3790" s="250"/>
      <c r="B3790" s="23" t="s">
        <v>639</v>
      </c>
      <c r="C3790" s="22">
        <v>41</v>
      </c>
      <c r="D3790" s="86">
        <v>1852200</v>
      </c>
      <c r="E3790" s="86">
        <v>184100</v>
      </c>
      <c r="F3790" s="87">
        <v>627000</v>
      </c>
      <c r="G3790" s="87">
        <v>891200</v>
      </c>
      <c r="H3790" s="88">
        <v>149900</v>
      </c>
    </row>
    <row r="3791" spans="1:8" ht="18" customHeight="1" x14ac:dyDescent="0.15">
      <c r="A3791" s="250"/>
      <c r="B3791" s="23" t="s">
        <v>640</v>
      </c>
      <c r="C3791" s="22">
        <v>0</v>
      </c>
      <c r="D3791" s="86">
        <v>0</v>
      </c>
      <c r="E3791" s="86">
        <v>0</v>
      </c>
      <c r="F3791" s="87">
        <v>0</v>
      </c>
      <c r="G3791" s="87">
        <v>0</v>
      </c>
      <c r="H3791" s="88">
        <v>0</v>
      </c>
    </row>
    <row r="3792" spans="1:8" ht="18" customHeight="1" x14ac:dyDescent="0.15">
      <c r="A3792" s="250"/>
      <c r="B3792" s="23" t="s">
        <v>641</v>
      </c>
      <c r="C3792" s="22">
        <v>8</v>
      </c>
      <c r="D3792" s="86">
        <v>192800</v>
      </c>
      <c r="E3792" s="86">
        <v>0</v>
      </c>
      <c r="F3792" s="87">
        <v>71700</v>
      </c>
      <c r="G3792" s="87">
        <v>120000</v>
      </c>
      <c r="H3792" s="88">
        <v>1100</v>
      </c>
    </row>
    <row r="3793" spans="1:8" ht="18" customHeight="1" x14ac:dyDescent="0.15">
      <c r="A3793" s="250"/>
      <c r="B3793" s="23" t="s">
        <v>642</v>
      </c>
      <c r="C3793" s="22">
        <v>1</v>
      </c>
      <c r="D3793" s="86">
        <v>3000</v>
      </c>
      <c r="E3793" s="86">
        <v>400</v>
      </c>
      <c r="F3793" s="87">
        <v>500</v>
      </c>
      <c r="G3793" s="87">
        <v>1300</v>
      </c>
      <c r="H3793" s="88">
        <v>800</v>
      </c>
    </row>
    <row r="3794" spans="1:8" ht="18" customHeight="1" x14ac:dyDescent="0.15">
      <c r="A3794" s="251"/>
      <c r="B3794" s="23" t="s">
        <v>643</v>
      </c>
      <c r="C3794" s="22">
        <v>12</v>
      </c>
      <c r="D3794" s="86">
        <v>6941</v>
      </c>
      <c r="E3794" s="86">
        <v>466</v>
      </c>
      <c r="F3794" s="87">
        <v>0</v>
      </c>
      <c r="G3794" s="87">
        <v>5975</v>
      </c>
      <c r="H3794" s="88">
        <v>500</v>
      </c>
    </row>
    <row r="3795" spans="1:8" ht="18" customHeight="1" x14ac:dyDescent="0.15">
      <c r="A3795" s="18" t="s">
        <v>644</v>
      </c>
      <c r="B3795" s="17" t="s">
        <v>645</v>
      </c>
      <c r="C3795" s="16">
        <v>3306</v>
      </c>
      <c r="D3795" s="80">
        <v>15134904</v>
      </c>
      <c r="E3795" s="80">
        <v>842760</v>
      </c>
      <c r="F3795" s="81">
        <v>6433077</v>
      </c>
      <c r="G3795" s="81">
        <v>5596503</v>
      </c>
      <c r="H3795" s="82">
        <v>2262564</v>
      </c>
    </row>
    <row r="3796" spans="1:8" ht="13.5" x14ac:dyDescent="0.15">
      <c r="A3796" s="252" t="s">
        <v>646</v>
      </c>
      <c r="B3796" s="12" t="s">
        <v>647</v>
      </c>
      <c r="C3796" s="11">
        <v>5911</v>
      </c>
      <c r="D3796" s="89">
        <v>74122050</v>
      </c>
      <c r="E3796" s="89">
        <v>44495815</v>
      </c>
      <c r="F3796" s="90">
        <v>12650364</v>
      </c>
      <c r="G3796" s="90">
        <v>10873754</v>
      </c>
      <c r="H3796" s="91">
        <v>6102114</v>
      </c>
    </row>
    <row r="3797" spans="1:8" ht="18" customHeight="1" thickBot="1" x14ac:dyDescent="0.2">
      <c r="A3797" s="253"/>
      <c r="B3797" s="7" t="s">
        <v>648</v>
      </c>
      <c r="C3797" s="6">
        <v>4793</v>
      </c>
      <c r="D3797" s="92" t="s">
        <v>649</v>
      </c>
      <c r="E3797" s="92" t="s">
        <v>54</v>
      </c>
      <c r="F3797" s="92" t="s">
        <v>54</v>
      </c>
      <c r="G3797" s="92" t="s">
        <v>54</v>
      </c>
      <c r="H3797" s="93" t="s">
        <v>54</v>
      </c>
    </row>
    <row r="3798" spans="1:8" ht="18" customHeight="1" x14ac:dyDescent="0.15">
      <c r="A3798" s="3" t="s">
        <v>650</v>
      </c>
      <c r="B3798" s="2"/>
      <c r="C3798" s="2"/>
      <c r="D3798" s="2"/>
      <c r="E3798" s="2"/>
      <c r="F3798" s="2"/>
      <c r="G3798" s="2"/>
      <c r="H3798" s="2"/>
    </row>
    <row r="3799" spans="1:8" ht="24" x14ac:dyDescent="0.15">
      <c r="A3799" s="230" t="s">
        <v>550</v>
      </c>
      <c r="B3799" s="230"/>
      <c r="C3799" s="230"/>
      <c r="D3799" s="230"/>
      <c r="E3799" s="230"/>
      <c r="F3799" s="230"/>
      <c r="G3799" s="230"/>
      <c r="H3799" s="230"/>
    </row>
    <row r="3800" spans="1:8" ht="24" customHeight="1" x14ac:dyDescent="0.15">
      <c r="A3800" s="231"/>
      <c r="B3800" s="231"/>
      <c r="C3800" s="231"/>
      <c r="D3800" s="231"/>
      <c r="E3800" s="231"/>
      <c r="F3800" s="231"/>
      <c r="G3800" s="231"/>
      <c r="H3800" s="231"/>
    </row>
    <row r="3801" spans="1:8" ht="18" customHeight="1" thickBot="1" x14ac:dyDescent="0.2">
      <c r="A3801" s="58" t="s">
        <v>551</v>
      </c>
    </row>
    <row r="3802" spans="1:8" ht="14.25" x14ac:dyDescent="0.15">
      <c r="A3802" s="232" t="s">
        <v>552</v>
      </c>
      <c r="B3802" s="235" t="s">
        <v>553</v>
      </c>
      <c r="C3802" s="238" t="s">
        <v>554</v>
      </c>
      <c r="D3802" s="241" t="s">
        <v>555</v>
      </c>
      <c r="E3802" s="57"/>
      <c r="F3802" s="56"/>
      <c r="G3802" s="56"/>
      <c r="H3802" s="55"/>
    </row>
    <row r="3803" spans="1:8" ht="18" customHeight="1" x14ac:dyDescent="0.15">
      <c r="A3803" s="233"/>
      <c r="B3803" s="236"/>
      <c r="C3803" s="239"/>
      <c r="D3803" s="242"/>
      <c r="E3803" s="244" t="s">
        <v>556</v>
      </c>
      <c r="F3803" s="246" t="s">
        <v>557</v>
      </c>
      <c r="G3803" s="246" t="s">
        <v>558</v>
      </c>
      <c r="H3803" s="248" t="s">
        <v>559</v>
      </c>
    </row>
    <row r="3804" spans="1:8" ht="18" customHeight="1" thickBot="1" x14ac:dyDescent="0.2">
      <c r="A3804" s="234"/>
      <c r="B3804" s="237"/>
      <c r="C3804" s="240"/>
      <c r="D3804" s="243"/>
      <c r="E3804" s="245"/>
      <c r="F3804" s="247"/>
      <c r="G3804" s="247"/>
      <c r="H3804" s="249"/>
    </row>
    <row r="3805" spans="1:8" ht="15" thickTop="1" x14ac:dyDescent="0.15">
      <c r="A3805" s="54"/>
      <c r="B3805" s="53"/>
      <c r="C3805" s="52"/>
      <c r="D3805" s="51" t="s">
        <v>560</v>
      </c>
      <c r="E3805" s="50" t="s">
        <v>560</v>
      </c>
      <c r="F3805" s="49" t="s">
        <v>560</v>
      </c>
      <c r="G3805" s="49" t="s">
        <v>560</v>
      </c>
      <c r="H3805" s="48" t="s">
        <v>560</v>
      </c>
    </row>
    <row r="3806" spans="1:8" ht="18" customHeight="1" x14ac:dyDescent="0.15">
      <c r="A3806" s="250" t="s">
        <v>561</v>
      </c>
      <c r="B3806" s="61" t="s">
        <v>562</v>
      </c>
      <c r="C3806" s="62">
        <v>3650</v>
      </c>
      <c r="D3806" s="63">
        <v>545578702</v>
      </c>
      <c r="E3806" s="63">
        <v>206838736</v>
      </c>
      <c r="F3806" s="64">
        <v>166858437</v>
      </c>
      <c r="G3806" s="64">
        <v>166625118</v>
      </c>
      <c r="H3806" s="65">
        <v>5256409</v>
      </c>
    </row>
    <row r="3807" spans="1:8" ht="18" customHeight="1" x14ac:dyDescent="0.15">
      <c r="A3807" s="250"/>
      <c r="B3807" s="66" t="s">
        <v>563</v>
      </c>
      <c r="C3807" s="67">
        <v>32</v>
      </c>
      <c r="D3807" s="68">
        <v>346218</v>
      </c>
      <c r="E3807" s="68">
        <v>138554</v>
      </c>
      <c r="F3807" s="69">
        <v>160162</v>
      </c>
      <c r="G3807" s="69">
        <v>47501</v>
      </c>
      <c r="H3807" s="70">
        <v>0</v>
      </c>
    </row>
    <row r="3808" spans="1:8" ht="13.5" x14ac:dyDescent="0.15">
      <c r="A3808" s="250"/>
      <c r="B3808" s="66" t="s">
        <v>564</v>
      </c>
      <c r="C3808" s="67">
        <v>28</v>
      </c>
      <c r="D3808" s="68">
        <v>0</v>
      </c>
      <c r="E3808" s="68">
        <v>0</v>
      </c>
      <c r="F3808" s="69">
        <v>0</v>
      </c>
      <c r="G3808" s="69">
        <v>0</v>
      </c>
      <c r="H3808" s="70">
        <v>0</v>
      </c>
    </row>
    <row r="3809" spans="1:8" ht="18" customHeight="1" x14ac:dyDescent="0.15">
      <c r="A3809" s="250"/>
      <c r="B3809" s="71" t="s">
        <v>565</v>
      </c>
      <c r="C3809" s="72">
        <v>1</v>
      </c>
      <c r="D3809" s="73">
        <v>162961</v>
      </c>
      <c r="E3809" s="73">
        <v>121613</v>
      </c>
      <c r="F3809" s="74">
        <v>9797</v>
      </c>
      <c r="G3809" s="74">
        <v>29909</v>
      </c>
      <c r="H3809" s="75">
        <v>1641</v>
      </c>
    </row>
    <row r="3810" spans="1:8" ht="18" customHeight="1" x14ac:dyDescent="0.15">
      <c r="A3810" s="250"/>
      <c r="B3810" s="66" t="s">
        <v>566</v>
      </c>
      <c r="C3810" s="67">
        <v>58</v>
      </c>
      <c r="D3810" s="68">
        <v>11499083</v>
      </c>
      <c r="E3810" s="68">
        <v>3098396</v>
      </c>
      <c r="F3810" s="69">
        <v>2955000</v>
      </c>
      <c r="G3810" s="69">
        <v>5420381</v>
      </c>
      <c r="H3810" s="70">
        <v>25304</v>
      </c>
    </row>
    <row r="3811" spans="1:8" ht="13.5" x14ac:dyDescent="0.15">
      <c r="A3811" s="250"/>
      <c r="B3811" s="76" t="s">
        <v>567</v>
      </c>
      <c r="C3811" s="67">
        <v>155</v>
      </c>
      <c r="D3811" s="68">
        <v>18132024</v>
      </c>
      <c r="E3811" s="68">
        <v>3164031</v>
      </c>
      <c r="F3811" s="69">
        <v>1078451</v>
      </c>
      <c r="G3811" s="69">
        <v>13835191</v>
      </c>
      <c r="H3811" s="70">
        <v>54349</v>
      </c>
    </row>
    <row r="3812" spans="1:8" ht="18" customHeight="1" x14ac:dyDescent="0.15">
      <c r="A3812" s="251"/>
      <c r="B3812" s="77" t="s">
        <v>568</v>
      </c>
      <c r="C3812" s="72">
        <v>55</v>
      </c>
      <c r="D3812" s="73">
        <v>272861</v>
      </c>
      <c r="E3812" s="73">
        <v>251657</v>
      </c>
      <c r="F3812" s="74">
        <v>7163</v>
      </c>
      <c r="G3812" s="74">
        <v>12386</v>
      </c>
      <c r="H3812" s="75">
        <v>1654</v>
      </c>
    </row>
    <row r="3813" spans="1:8" ht="18" customHeight="1" x14ac:dyDescent="0.15">
      <c r="A3813" s="30" t="s">
        <v>569</v>
      </c>
      <c r="B3813" s="78" t="s">
        <v>570</v>
      </c>
      <c r="C3813" s="79">
        <v>35</v>
      </c>
      <c r="D3813" s="80">
        <v>132221</v>
      </c>
      <c r="E3813" s="80">
        <v>130464</v>
      </c>
      <c r="F3813" s="81">
        <v>1048</v>
      </c>
      <c r="G3813" s="81">
        <v>6</v>
      </c>
      <c r="H3813" s="82">
        <v>702</v>
      </c>
    </row>
    <row r="3814" spans="1:8" ht="13.5" x14ac:dyDescent="0.15">
      <c r="A3814" s="252" t="s">
        <v>571</v>
      </c>
      <c r="B3814" s="17" t="s">
        <v>572</v>
      </c>
      <c r="C3814" s="16">
        <v>3059</v>
      </c>
      <c r="D3814" s="83">
        <v>59605824</v>
      </c>
      <c r="E3814" s="83">
        <v>9094359</v>
      </c>
      <c r="F3814" s="84">
        <v>7535092</v>
      </c>
      <c r="G3814" s="84">
        <v>35357458</v>
      </c>
      <c r="H3814" s="85">
        <v>7618915</v>
      </c>
    </row>
    <row r="3815" spans="1:8" ht="18" customHeight="1" x14ac:dyDescent="0.15">
      <c r="A3815" s="250"/>
      <c r="B3815" s="23" t="s">
        <v>573</v>
      </c>
      <c r="C3815" s="22">
        <v>2900</v>
      </c>
      <c r="D3815" s="86">
        <v>14198501</v>
      </c>
      <c r="E3815" s="86">
        <v>588103</v>
      </c>
      <c r="F3815" s="87">
        <v>2939948</v>
      </c>
      <c r="G3815" s="87">
        <v>8742863</v>
      </c>
      <c r="H3815" s="88">
        <v>1927585</v>
      </c>
    </row>
    <row r="3816" spans="1:8" ht="18" customHeight="1" x14ac:dyDescent="0.15">
      <c r="A3816" s="250"/>
      <c r="B3816" s="24" t="s">
        <v>574</v>
      </c>
      <c r="C3816" s="22">
        <v>614</v>
      </c>
      <c r="D3816" s="86">
        <v>34094020</v>
      </c>
      <c r="E3816" s="86">
        <v>2177831</v>
      </c>
      <c r="F3816" s="87">
        <v>5771214</v>
      </c>
      <c r="G3816" s="87">
        <v>19540192</v>
      </c>
      <c r="H3816" s="88">
        <v>6604782</v>
      </c>
    </row>
    <row r="3817" spans="1:8" ht="18" customHeight="1" x14ac:dyDescent="0.15">
      <c r="A3817" s="250"/>
      <c r="B3817" s="23" t="s">
        <v>575</v>
      </c>
      <c r="C3817" s="22">
        <v>1512</v>
      </c>
      <c r="D3817" s="86">
        <v>45305500</v>
      </c>
      <c r="E3817" s="86">
        <v>4026032</v>
      </c>
      <c r="F3817" s="87">
        <v>7422907</v>
      </c>
      <c r="G3817" s="87">
        <v>30089304</v>
      </c>
      <c r="H3817" s="88">
        <v>3767255</v>
      </c>
    </row>
    <row r="3818" spans="1:8" ht="18" customHeight="1" x14ac:dyDescent="0.15">
      <c r="A3818" s="250"/>
      <c r="B3818" s="23" t="s">
        <v>576</v>
      </c>
      <c r="C3818" s="22">
        <v>198</v>
      </c>
      <c r="D3818" s="86">
        <v>4031400</v>
      </c>
      <c r="E3818" s="86">
        <v>147211</v>
      </c>
      <c r="F3818" s="87">
        <v>147620</v>
      </c>
      <c r="G3818" s="87">
        <v>3692590</v>
      </c>
      <c r="H3818" s="88">
        <v>43977</v>
      </c>
    </row>
    <row r="3819" spans="1:8" ht="18" customHeight="1" x14ac:dyDescent="0.15">
      <c r="A3819" s="250"/>
      <c r="B3819" s="23" t="s">
        <v>577</v>
      </c>
      <c r="C3819" s="22">
        <v>106</v>
      </c>
      <c r="D3819" s="86">
        <v>1058600</v>
      </c>
      <c r="E3819" s="86">
        <v>233600</v>
      </c>
      <c r="F3819" s="87">
        <v>55700</v>
      </c>
      <c r="G3819" s="87">
        <v>510170</v>
      </c>
      <c r="H3819" s="88">
        <v>259130</v>
      </c>
    </row>
    <row r="3820" spans="1:8" ht="18" customHeight="1" x14ac:dyDescent="0.15">
      <c r="A3820" s="250"/>
      <c r="B3820" s="23" t="s">
        <v>578</v>
      </c>
      <c r="C3820" s="22">
        <v>32</v>
      </c>
      <c r="D3820" s="86">
        <v>273021</v>
      </c>
      <c r="E3820" s="86">
        <v>119212</v>
      </c>
      <c r="F3820" s="87">
        <v>16517</v>
      </c>
      <c r="G3820" s="87">
        <v>89017</v>
      </c>
      <c r="H3820" s="88">
        <v>48274</v>
      </c>
    </row>
    <row r="3821" spans="1:8" ht="18" customHeight="1" x14ac:dyDescent="0.15">
      <c r="A3821" s="250"/>
      <c r="B3821" s="23" t="s">
        <v>579</v>
      </c>
      <c r="C3821" s="22">
        <v>0</v>
      </c>
      <c r="D3821" s="86">
        <v>0</v>
      </c>
      <c r="E3821" s="86">
        <v>0</v>
      </c>
      <c r="F3821" s="87">
        <v>0</v>
      </c>
      <c r="G3821" s="87">
        <v>0</v>
      </c>
      <c r="H3821" s="88">
        <v>0</v>
      </c>
    </row>
    <row r="3822" spans="1:8" ht="18" customHeight="1" x14ac:dyDescent="0.15">
      <c r="A3822" s="250"/>
      <c r="B3822" s="23" t="s">
        <v>580</v>
      </c>
      <c r="C3822" s="22">
        <v>253</v>
      </c>
      <c r="D3822" s="86">
        <v>10629360</v>
      </c>
      <c r="E3822" s="86">
        <v>808740</v>
      </c>
      <c r="F3822" s="87">
        <v>3034880</v>
      </c>
      <c r="G3822" s="87">
        <v>3928580</v>
      </c>
      <c r="H3822" s="88">
        <v>2857160</v>
      </c>
    </row>
    <row r="3823" spans="1:8" ht="18" customHeight="1" x14ac:dyDescent="0.15">
      <c r="A3823" s="250"/>
      <c r="B3823" s="23" t="s">
        <v>581</v>
      </c>
      <c r="C3823" s="22">
        <v>2985</v>
      </c>
      <c r="D3823" s="86">
        <v>62185098</v>
      </c>
      <c r="E3823" s="86">
        <v>13318620</v>
      </c>
      <c r="F3823" s="87">
        <v>9639089</v>
      </c>
      <c r="G3823" s="87">
        <v>32979739</v>
      </c>
      <c r="H3823" s="88">
        <v>6247648</v>
      </c>
    </row>
    <row r="3824" spans="1:8" ht="13.5" x14ac:dyDescent="0.15">
      <c r="A3824" s="250"/>
      <c r="B3824" s="23" t="s">
        <v>582</v>
      </c>
      <c r="C3824" s="22">
        <v>597</v>
      </c>
      <c r="D3824" s="86">
        <v>16260525</v>
      </c>
      <c r="E3824" s="86">
        <v>1780567</v>
      </c>
      <c r="F3824" s="87">
        <v>3467552</v>
      </c>
      <c r="G3824" s="87">
        <v>9744234</v>
      </c>
      <c r="H3824" s="88">
        <v>1268169</v>
      </c>
    </row>
    <row r="3825" spans="1:8" ht="18" customHeight="1" x14ac:dyDescent="0.15">
      <c r="A3825" s="250"/>
      <c r="B3825" s="23" t="s">
        <v>583</v>
      </c>
      <c r="C3825" s="22">
        <v>43393</v>
      </c>
      <c r="D3825" s="86">
        <v>13838919</v>
      </c>
      <c r="E3825" s="86">
        <v>494438</v>
      </c>
      <c r="F3825" s="87">
        <v>6834018</v>
      </c>
      <c r="G3825" s="87">
        <v>6213581</v>
      </c>
      <c r="H3825" s="88">
        <v>296880</v>
      </c>
    </row>
    <row r="3826" spans="1:8" ht="18" customHeight="1" x14ac:dyDescent="0.15">
      <c r="A3826" s="250"/>
      <c r="B3826" s="23" t="s">
        <v>584</v>
      </c>
      <c r="C3826" s="22">
        <v>769</v>
      </c>
      <c r="D3826" s="86">
        <v>3630973</v>
      </c>
      <c r="E3826" s="86">
        <v>5761</v>
      </c>
      <c r="F3826" s="87">
        <v>2194626</v>
      </c>
      <c r="G3826" s="87">
        <v>1430586</v>
      </c>
      <c r="H3826" s="88">
        <v>0</v>
      </c>
    </row>
    <row r="3827" spans="1:8" ht="18" customHeight="1" x14ac:dyDescent="0.15">
      <c r="A3827" s="250"/>
      <c r="B3827" s="23" t="s">
        <v>585</v>
      </c>
      <c r="C3827" s="22">
        <v>46</v>
      </c>
      <c r="D3827" s="86">
        <v>603000</v>
      </c>
      <c r="E3827" s="86">
        <v>168272</v>
      </c>
      <c r="F3827" s="87">
        <v>80301</v>
      </c>
      <c r="G3827" s="87">
        <v>300427</v>
      </c>
      <c r="H3827" s="88">
        <v>54000</v>
      </c>
    </row>
    <row r="3828" spans="1:8" ht="18" customHeight="1" x14ac:dyDescent="0.15">
      <c r="A3828" s="250"/>
      <c r="B3828" s="23" t="s">
        <v>586</v>
      </c>
      <c r="C3828" s="22">
        <v>406</v>
      </c>
      <c r="D3828" s="86">
        <v>2047157</v>
      </c>
      <c r="E3828" s="86">
        <v>264931</v>
      </c>
      <c r="F3828" s="87">
        <v>952437</v>
      </c>
      <c r="G3828" s="87">
        <v>753988</v>
      </c>
      <c r="H3828" s="88">
        <v>75800</v>
      </c>
    </row>
    <row r="3829" spans="1:8" ht="18" customHeight="1" x14ac:dyDescent="0.15">
      <c r="A3829" s="250"/>
      <c r="B3829" s="23" t="s">
        <v>587</v>
      </c>
      <c r="C3829" s="22">
        <v>318</v>
      </c>
      <c r="D3829" s="86">
        <v>8573700</v>
      </c>
      <c r="E3829" s="86">
        <v>903121</v>
      </c>
      <c r="F3829" s="87">
        <v>1652988</v>
      </c>
      <c r="G3829" s="87">
        <v>5525203</v>
      </c>
      <c r="H3829" s="88">
        <v>492387</v>
      </c>
    </row>
    <row r="3830" spans="1:8" ht="13.5" x14ac:dyDescent="0.15">
      <c r="A3830" s="250"/>
      <c r="B3830" s="23" t="s">
        <v>588</v>
      </c>
      <c r="C3830" s="22">
        <v>41</v>
      </c>
      <c r="D3830" s="86">
        <v>1852200</v>
      </c>
      <c r="E3830" s="86">
        <v>184100</v>
      </c>
      <c r="F3830" s="87">
        <v>627500</v>
      </c>
      <c r="G3830" s="87">
        <v>890700</v>
      </c>
      <c r="H3830" s="88">
        <v>149900</v>
      </c>
    </row>
    <row r="3831" spans="1:8" ht="18" customHeight="1" x14ac:dyDescent="0.15">
      <c r="A3831" s="250"/>
      <c r="B3831" s="23" t="s">
        <v>589</v>
      </c>
      <c r="C3831" s="22">
        <v>0</v>
      </c>
      <c r="D3831" s="86">
        <v>0</v>
      </c>
      <c r="E3831" s="86">
        <v>0</v>
      </c>
      <c r="F3831" s="87">
        <v>0</v>
      </c>
      <c r="G3831" s="87">
        <v>0</v>
      </c>
      <c r="H3831" s="88">
        <v>0</v>
      </c>
    </row>
    <row r="3832" spans="1:8" ht="18" customHeight="1" x14ac:dyDescent="0.15">
      <c r="A3832" s="250"/>
      <c r="B3832" s="23" t="s">
        <v>590</v>
      </c>
      <c r="C3832" s="22">
        <v>12</v>
      </c>
      <c r="D3832" s="86">
        <v>407900</v>
      </c>
      <c r="E3832" s="86">
        <v>200</v>
      </c>
      <c r="F3832" s="87">
        <v>128000</v>
      </c>
      <c r="G3832" s="87">
        <v>277600</v>
      </c>
      <c r="H3832" s="88">
        <v>2100</v>
      </c>
    </row>
    <row r="3833" spans="1:8" ht="18" customHeight="1" x14ac:dyDescent="0.15">
      <c r="A3833" s="250"/>
      <c r="B3833" s="23" t="s">
        <v>591</v>
      </c>
      <c r="C3833" s="22">
        <v>1</v>
      </c>
      <c r="D3833" s="86">
        <v>3000</v>
      </c>
      <c r="E3833" s="86">
        <v>600</v>
      </c>
      <c r="F3833" s="87">
        <v>500</v>
      </c>
      <c r="G3833" s="87">
        <v>1100</v>
      </c>
      <c r="H3833" s="88">
        <v>800</v>
      </c>
    </row>
    <row r="3834" spans="1:8" ht="18" customHeight="1" x14ac:dyDescent="0.15">
      <c r="A3834" s="251"/>
      <c r="B3834" s="23" t="s">
        <v>592</v>
      </c>
      <c r="C3834" s="22">
        <v>11</v>
      </c>
      <c r="D3834" s="86">
        <v>6916</v>
      </c>
      <c r="E3834" s="86">
        <v>466</v>
      </c>
      <c r="F3834" s="87">
        <v>0</v>
      </c>
      <c r="G3834" s="87">
        <v>5950</v>
      </c>
      <c r="H3834" s="88">
        <v>500</v>
      </c>
    </row>
    <row r="3835" spans="1:8" ht="18" customHeight="1" x14ac:dyDescent="0.15">
      <c r="A3835" s="18" t="s">
        <v>593</v>
      </c>
      <c r="B3835" s="17" t="s">
        <v>594</v>
      </c>
      <c r="C3835" s="16">
        <v>3329</v>
      </c>
      <c r="D3835" s="80">
        <v>14141232</v>
      </c>
      <c r="E3835" s="80">
        <v>852760</v>
      </c>
      <c r="F3835" s="81">
        <v>5949457</v>
      </c>
      <c r="G3835" s="81">
        <v>4939951</v>
      </c>
      <c r="H3835" s="82">
        <v>2399064</v>
      </c>
    </row>
    <row r="3836" spans="1:8" ht="13.5" x14ac:dyDescent="0.15">
      <c r="A3836" s="252" t="s">
        <v>595</v>
      </c>
      <c r="B3836" s="12" t="s">
        <v>596</v>
      </c>
      <c r="C3836" s="11">
        <v>5912</v>
      </c>
      <c r="D3836" s="89">
        <v>71858257</v>
      </c>
      <c r="E3836" s="89">
        <v>42891093</v>
      </c>
      <c r="F3836" s="90">
        <v>12425069</v>
      </c>
      <c r="G3836" s="90">
        <v>10634408</v>
      </c>
      <c r="H3836" s="91">
        <v>5907686</v>
      </c>
    </row>
    <row r="3837" spans="1:8" ht="18" customHeight="1" thickBot="1" x14ac:dyDescent="0.2">
      <c r="A3837" s="253"/>
      <c r="B3837" s="7" t="s">
        <v>597</v>
      </c>
      <c r="C3837" s="6">
        <v>4726</v>
      </c>
      <c r="D3837" s="92" t="s">
        <v>598</v>
      </c>
      <c r="E3837" s="92" t="s">
        <v>598</v>
      </c>
      <c r="F3837" s="92" t="s">
        <v>598</v>
      </c>
      <c r="G3837" s="92" t="s">
        <v>599</v>
      </c>
      <c r="H3837" s="93" t="s">
        <v>598</v>
      </c>
    </row>
    <row r="3838" spans="1:8" ht="18" customHeight="1" x14ac:dyDescent="0.15">
      <c r="A3838" s="3" t="s">
        <v>600</v>
      </c>
      <c r="B3838" s="2"/>
      <c r="C3838" s="2"/>
      <c r="D3838" s="2"/>
      <c r="E3838" s="2"/>
      <c r="F3838" s="2"/>
      <c r="G3838" s="2"/>
      <c r="H3838" s="2"/>
    </row>
    <row r="3839" spans="1:8" ht="24" x14ac:dyDescent="0.15">
      <c r="A3839" s="230" t="s">
        <v>500</v>
      </c>
      <c r="B3839" s="230"/>
      <c r="C3839" s="230"/>
      <c r="D3839" s="230"/>
      <c r="E3839" s="230"/>
      <c r="F3839" s="230"/>
      <c r="G3839" s="230"/>
      <c r="H3839" s="230"/>
    </row>
    <row r="3840" spans="1:8" ht="24" customHeight="1" x14ac:dyDescent="0.15">
      <c r="A3840" s="231"/>
      <c r="B3840" s="231"/>
      <c r="C3840" s="231"/>
      <c r="D3840" s="231"/>
      <c r="E3840" s="231"/>
      <c r="F3840" s="231"/>
      <c r="G3840" s="231"/>
      <c r="H3840" s="231"/>
    </row>
    <row r="3841" spans="1:8" ht="18" customHeight="1" thickBot="1" x14ac:dyDescent="0.2">
      <c r="A3841" s="58" t="s">
        <v>501</v>
      </c>
    </row>
    <row r="3842" spans="1:8" ht="14.25" x14ac:dyDescent="0.15">
      <c r="A3842" s="232" t="s">
        <v>502</v>
      </c>
      <c r="B3842" s="235" t="s">
        <v>503</v>
      </c>
      <c r="C3842" s="238" t="s">
        <v>504</v>
      </c>
      <c r="D3842" s="241" t="s">
        <v>505</v>
      </c>
      <c r="E3842" s="57"/>
      <c r="F3842" s="56"/>
      <c r="G3842" s="56"/>
      <c r="H3842" s="55"/>
    </row>
    <row r="3843" spans="1:8" ht="18" customHeight="1" x14ac:dyDescent="0.15">
      <c r="A3843" s="233"/>
      <c r="B3843" s="236"/>
      <c r="C3843" s="239"/>
      <c r="D3843" s="242"/>
      <c r="E3843" s="244" t="s">
        <v>506</v>
      </c>
      <c r="F3843" s="246" t="s">
        <v>507</v>
      </c>
      <c r="G3843" s="246" t="s">
        <v>508</v>
      </c>
      <c r="H3843" s="248" t="s">
        <v>509</v>
      </c>
    </row>
    <row r="3844" spans="1:8" ht="18" customHeight="1" thickBot="1" x14ac:dyDescent="0.2">
      <c r="A3844" s="234"/>
      <c r="B3844" s="237"/>
      <c r="C3844" s="240"/>
      <c r="D3844" s="243"/>
      <c r="E3844" s="245"/>
      <c r="F3844" s="247"/>
      <c r="G3844" s="247"/>
      <c r="H3844" s="249"/>
    </row>
    <row r="3845" spans="1:8" ht="15" thickTop="1" x14ac:dyDescent="0.15">
      <c r="A3845" s="54"/>
      <c r="B3845" s="53"/>
      <c r="C3845" s="52"/>
      <c r="D3845" s="51" t="s">
        <v>510</v>
      </c>
      <c r="E3845" s="50" t="s">
        <v>510</v>
      </c>
      <c r="F3845" s="49" t="s">
        <v>510</v>
      </c>
      <c r="G3845" s="49" t="s">
        <v>510</v>
      </c>
      <c r="H3845" s="48" t="s">
        <v>510</v>
      </c>
    </row>
    <row r="3846" spans="1:8" ht="18" customHeight="1" x14ac:dyDescent="0.15">
      <c r="A3846" s="250" t="s">
        <v>511</v>
      </c>
      <c r="B3846" s="61" t="s">
        <v>512</v>
      </c>
      <c r="C3846" s="62">
        <v>3648</v>
      </c>
      <c r="D3846" s="63">
        <v>567469415</v>
      </c>
      <c r="E3846" s="63">
        <v>221207395</v>
      </c>
      <c r="F3846" s="64">
        <v>163314832</v>
      </c>
      <c r="G3846" s="64">
        <v>177246898</v>
      </c>
      <c r="H3846" s="65">
        <v>5700289</v>
      </c>
    </row>
    <row r="3847" spans="1:8" ht="18" customHeight="1" x14ac:dyDescent="0.15">
      <c r="A3847" s="250"/>
      <c r="B3847" s="66" t="s">
        <v>513</v>
      </c>
      <c r="C3847" s="67">
        <v>32</v>
      </c>
      <c r="D3847" s="68">
        <v>342221</v>
      </c>
      <c r="E3847" s="68">
        <v>140985</v>
      </c>
      <c r="F3847" s="69">
        <v>155097</v>
      </c>
      <c r="G3847" s="69">
        <v>46138</v>
      </c>
      <c r="H3847" s="70">
        <v>0</v>
      </c>
    </row>
    <row r="3848" spans="1:8" ht="13.5" x14ac:dyDescent="0.15">
      <c r="A3848" s="250"/>
      <c r="B3848" s="66" t="s">
        <v>514</v>
      </c>
      <c r="C3848" s="67">
        <v>27</v>
      </c>
      <c r="D3848" s="68">
        <v>0</v>
      </c>
      <c r="E3848" s="68">
        <v>0</v>
      </c>
      <c r="F3848" s="69">
        <v>0</v>
      </c>
      <c r="G3848" s="69">
        <v>0</v>
      </c>
      <c r="H3848" s="70">
        <v>0</v>
      </c>
    </row>
    <row r="3849" spans="1:8" ht="18" customHeight="1" x14ac:dyDescent="0.15">
      <c r="A3849" s="250"/>
      <c r="B3849" s="71" t="s">
        <v>515</v>
      </c>
      <c r="C3849" s="72">
        <v>1</v>
      </c>
      <c r="D3849" s="73">
        <v>163103</v>
      </c>
      <c r="E3849" s="73">
        <v>121721</v>
      </c>
      <c r="F3849" s="74">
        <v>9804</v>
      </c>
      <c r="G3849" s="74">
        <v>29935</v>
      </c>
      <c r="H3849" s="75">
        <v>1642</v>
      </c>
    </row>
    <row r="3850" spans="1:8" ht="18" customHeight="1" x14ac:dyDescent="0.15">
      <c r="A3850" s="250"/>
      <c r="B3850" s="66" t="s">
        <v>516</v>
      </c>
      <c r="C3850" s="67">
        <v>58</v>
      </c>
      <c r="D3850" s="68">
        <v>11776137</v>
      </c>
      <c r="E3850" s="68">
        <v>3155477</v>
      </c>
      <c r="F3850" s="69">
        <v>3073878</v>
      </c>
      <c r="G3850" s="69">
        <v>5530748</v>
      </c>
      <c r="H3850" s="70">
        <v>16032</v>
      </c>
    </row>
    <row r="3851" spans="1:8" ht="13.5" x14ac:dyDescent="0.15">
      <c r="A3851" s="250"/>
      <c r="B3851" s="76" t="s">
        <v>517</v>
      </c>
      <c r="C3851" s="67">
        <v>154</v>
      </c>
      <c r="D3851" s="68">
        <v>17292534</v>
      </c>
      <c r="E3851" s="68">
        <v>3116704</v>
      </c>
      <c r="F3851" s="69">
        <v>1474210</v>
      </c>
      <c r="G3851" s="69">
        <v>12636440</v>
      </c>
      <c r="H3851" s="70">
        <v>65180</v>
      </c>
    </row>
    <row r="3852" spans="1:8" ht="18" customHeight="1" x14ac:dyDescent="0.15">
      <c r="A3852" s="251"/>
      <c r="B3852" s="77" t="s">
        <v>518</v>
      </c>
      <c r="C3852" s="72">
        <v>55</v>
      </c>
      <c r="D3852" s="73">
        <v>277182</v>
      </c>
      <c r="E3852" s="73">
        <v>259346</v>
      </c>
      <c r="F3852" s="74">
        <v>4660</v>
      </c>
      <c r="G3852" s="74">
        <v>11495</v>
      </c>
      <c r="H3852" s="75">
        <v>1680</v>
      </c>
    </row>
    <row r="3853" spans="1:8" ht="18" customHeight="1" x14ac:dyDescent="0.15">
      <c r="A3853" s="30" t="s">
        <v>519</v>
      </c>
      <c r="B3853" s="78" t="s">
        <v>520</v>
      </c>
      <c r="C3853" s="79">
        <v>35</v>
      </c>
      <c r="D3853" s="80">
        <v>125226</v>
      </c>
      <c r="E3853" s="80">
        <v>123152</v>
      </c>
      <c r="F3853" s="81">
        <v>1183</v>
      </c>
      <c r="G3853" s="81">
        <v>7</v>
      </c>
      <c r="H3853" s="82">
        <v>884</v>
      </c>
    </row>
    <row r="3854" spans="1:8" ht="13.5" x14ac:dyDescent="0.15">
      <c r="A3854" s="252" t="s">
        <v>521</v>
      </c>
      <c r="B3854" s="17" t="s">
        <v>522</v>
      </c>
      <c r="C3854" s="16">
        <v>3045</v>
      </c>
      <c r="D3854" s="83">
        <v>59472774</v>
      </c>
      <c r="E3854" s="83">
        <v>9059796</v>
      </c>
      <c r="F3854" s="84">
        <v>7444767</v>
      </c>
      <c r="G3854" s="84">
        <v>35357867</v>
      </c>
      <c r="H3854" s="85">
        <v>7610343</v>
      </c>
    </row>
    <row r="3855" spans="1:8" ht="18" customHeight="1" x14ac:dyDescent="0.15">
      <c r="A3855" s="250"/>
      <c r="B3855" s="23" t="s">
        <v>523</v>
      </c>
      <c r="C3855" s="22">
        <v>2876</v>
      </c>
      <c r="D3855" s="86">
        <v>14114326</v>
      </c>
      <c r="E3855" s="86">
        <v>603496</v>
      </c>
      <c r="F3855" s="87">
        <v>2918771</v>
      </c>
      <c r="G3855" s="87">
        <v>8674688</v>
      </c>
      <c r="H3855" s="88">
        <v>1917369</v>
      </c>
    </row>
    <row r="3856" spans="1:8" ht="18" customHeight="1" x14ac:dyDescent="0.15">
      <c r="A3856" s="250"/>
      <c r="B3856" s="24" t="s">
        <v>524</v>
      </c>
      <c r="C3856" s="22">
        <v>613</v>
      </c>
      <c r="D3856" s="86">
        <v>34204020</v>
      </c>
      <c r="E3856" s="86">
        <v>2132979</v>
      </c>
      <c r="F3856" s="87">
        <v>5763367</v>
      </c>
      <c r="G3856" s="87">
        <v>19661610</v>
      </c>
      <c r="H3856" s="88">
        <v>6646063</v>
      </c>
    </row>
    <row r="3857" spans="1:8" ht="18" customHeight="1" x14ac:dyDescent="0.15">
      <c r="A3857" s="250"/>
      <c r="B3857" s="23" t="s">
        <v>525</v>
      </c>
      <c r="C3857" s="22">
        <v>1493</v>
      </c>
      <c r="D3857" s="86">
        <v>44825100</v>
      </c>
      <c r="E3857" s="86">
        <v>3980935</v>
      </c>
      <c r="F3857" s="87">
        <v>7268957</v>
      </c>
      <c r="G3857" s="87">
        <v>29823351</v>
      </c>
      <c r="H3857" s="88">
        <v>3751855</v>
      </c>
    </row>
    <row r="3858" spans="1:8" ht="18" customHeight="1" x14ac:dyDescent="0.15">
      <c r="A3858" s="250"/>
      <c r="B3858" s="23" t="s">
        <v>526</v>
      </c>
      <c r="C3858" s="22">
        <v>195</v>
      </c>
      <c r="D3858" s="86">
        <v>4095400</v>
      </c>
      <c r="E3858" s="86">
        <v>147805</v>
      </c>
      <c r="F3858" s="87">
        <v>150952</v>
      </c>
      <c r="G3858" s="87">
        <v>3751086</v>
      </c>
      <c r="H3858" s="88">
        <v>45554</v>
      </c>
    </row>
    <row r="3859" spans="1:8" ht="18" customHeight="1" x14ac:dyDescent="0.15">
      <c r="A3859" s="250"/>
      <c r="B3859" s="23" t="s">
        <v>527</v>
      </c>
      <c r="C3859" s="22">
        <v>105</v>
      </c>
      <c r="D3859" s="86">
        <v>1055600</v>
      </c>
      <c r="E3859" s="86">
        <v>231000</v>
      </c>
      <c r="F3859" s="87">
        <v>56000</v>
      </c>
      <c r="G3859" s="87">
        <v>510070</v>
      </c>
      <c r="H3859" s="88">
        <v>258530</v>
      </c>
    </row>
    <row r="3860" spans="1:8" ht="18" customHeight="1" x14ac:dyDescent="0.15">
      <c r="A3860" s="250"/>
      <c r="B3860" s="23" t="s">
        <v>528</v>
      </c>
      <c r="C3860" s="22">
        <v>32</v>
      </c>
      <c r="D3860" s="86">
        <v>273021</v>
      </c>
      <c r="E3860" s="86">
        <v>119212</v>
      </c>
      <c r="F3860" s="87">
        <v>16517</v>
      </c>
      <c r="G3860" s="87">
        <v>89017</v>
      </c>
      <c r="H3860" s="88">
        <v>48274</v>
      </c>
    </row>
    <row r="3861" spans="1:8" ht="18" customHeight="1" x14ac:dyDescent="0.15">
      <c r="A3861" s="250"/>
      <c r="B3861" s="23" t="s">
        <v>529</v>
      </c>
      <c r="C3861" s="22">
        <v>0</v>
      </c>
      <c r="D3861" s="86">
        <v>0</v>
      </c>
      <c r="E3861" s="86">
        <v>0</v>
      </c>
      <c r="F3861" s="87">
        <v>0</v>
      </c>
      <c r="G3861" s="87">
        <v>0</v>
      </c>
      <c r="H3861" s="88">
        <v>0</v>
      </c>
    </row>
    <row r="3862" spans="1:8" ht="18" customHeight="1" x14ac:dyDescent="0.15">
      <c r="A3862" s="250"/>
      <c r="B3862" s="23" t="s">
        <v>530</v>
      </c>
      <c r="C3862" s="22">
        <v>254</v>
      </c>
      <c r="D3862" s="86">
        <v>10707770</v>
      </c>
      <c r="E3862" s="86">
        <v>827520</v>
      </c>
      <c r="F3862" s="87">
        <v>3131200</v>
      </c>
      <c r="G3862" s="87">
        <v>3841950</v>
      </c>
      <c r="H3862" s="88">
        <v>2907100</v>
      </c>
    </row>
    <row r="3863" spans="1:8" ht="18" customHeight="1" x14ac:dyDescent="0.15">
      <c r="A3863" s="250"/>
      <c r="B3863" s="23" t="s">
        <v>531</v>
      </c>
      <c r="C3863" s="22">
        <v>2975</v>
      </c>
      <c r="D3863" s="86">
        <v>61973974</v>
      </c>
      <c r="E3863" s="86">
        <v>13355300</v>
      </c>
      <c r="F3863" s="87">
        <v>9709464</v>
      </c>
      <c r="G3863" s="87">
        <v>32645140</v>
      </c>
      <c r="H3863" s="88">
        <v>6264068</v>
      </c>
    </row>
    <row r="3864" spans="1:8" ht="13.5" x14ac:dyDescent="0.15">
      <c r="A3864" s="250"/>
      <c r="B3864" s="23" t="s">
        <v>532</v>
      </c>
      <c r="C3864" s="22">
        <v>593</v>
      </c>
      <c r="D3864" s="86">
        <v>16170525</v>
      </c>
      <c r="E3864" s="86">
        <v>1751933</v>
      </c>
      <c r="F3864" s="87">
        <v>3458532</v>
      </c>
      <c r="G3864" s="87">
        <v>9700687</v>
      </c>
      <c r="H3864" s="88">
        <v>1259371</v>
      </c>
    </row>
    <row r="3865" spans="1:8" ht="18" customHeight="1" x14ac:dyDescent="0.15">
      <c r="A3865" s="250"/>
      <c r="B3865" s="23" t="s">
        <v>533</v>
      </c>
      <c r="C3865" s="22">
        <v>43255</v>
      </c>
      <c r="D3865" s="86">
        <v>13730305</v>
      </c>
      <c r="E3865" s="86">
        <v>474838</v>
      </c>
      <c r="F3865" s="87">
        <v>6811649</v>
      </c>
      <c r="G3865" s="87">
        <v>6177757</v>
      </c>
      <c r="H3865" s="88">
        <v>266060</v>
      </c>
    </row>
    <row r="3866" spans="1:8" ht="18" customHeight="1" x14ac:dyDescent="0.15">
      <c r="A3866" s="250"/>
      <c r="B3866" s="23" t="s">
        <v>534</v>
      </c>
      <c r="C3866" s="22">
        <v>762</v>
      </c>
      <c r="D3866" s="86">
        <v>3625441</v>
      </c>
      <c r="E3866" s="86">
        <v>5761</v>
      </c>
      <c r="F3866" s="87">
        <v>2193733</v>
      </c>
      <c r="G3866" s="87">
        <v>1425947</v>
      </c>
      <c r="H3866" s="88">
        <v>0</v>
      </c>
    </row>
    <row r="3867" spans="1:8" ht="18" customHeight="1" x14ac:dyDescent="0.15">
      <c r="A3867" s="250"/>
      <c r="B3867" s="23" t="s">
        <v>535</v>
      </c>
      <c r="C3867" s="22">
        <v>46</v>
      </c>
      <c r="D3867" s="86">
        <v>603000</v>
      </c>
      <c r="E3867" s="86">
        <v>164275</v>
      </c>
      <c r="F3867" s="87">
        <v>81701</v>
      </c>
      <c r="G3867" s="87">
        <v>303724</v>
      </c>
      <c r="H3867" s="88">
        <v>53300</v>
      </c>
    </row>
    <row r="3868" spans="1:8" ht="18" customHeight="1" x14ac:dyDescent="0.15">
      <c r="A3868" s="250"/>
      <c r="B3868" s="23" t="s">
        <v>536</v>
      </c>
      <c r="C3868" s="22">
        <v>404</v>
      </c>
      <c r="D3868" s="86">
        <v>2043456</v>
      </c>
      <c r="E3868" s="86">
        <v>257630</v>
      </c>
      <c r="F3868" s="87">
        <v>952137</v>
      </c>
      <c r="G3868" s="87">
        <v>757888</v>
      </c>
      <c r="H3868" s="88">
        <v>75800</v>
      </c>
    </row>
    <row r="3869" spans="1:8" ht="18" customHeight="1" x14ac:dyDescent="0.15">
      <c r="A3869" s="250"/>
      <c r="B3869" s="23" t="s">
        <v>537</v>
      </c>
      <c r="C3869" s="22">
        <v>317</v>
      </c>
      <c r="D3869" s="86">
        <v>8409200</v>
      </c>
      <c r="E3869" s="86">
        <v>876621</v>
      </c>
      <c r="F3869" s="87">
        <v>1597088</v>
      </c>
      <c r="G3869" s="87">
        <v>5448803</v>
      </c>
      <c r="H3869" s="88">
        <v>486687</v>
      </c>
    </row>
    <row r="3870" spans="1:8" ht="13.5" x14ac:dyDescent="0.15">
      <c r="A3870" s="250"/>
      <c r="B3870" s="23" t="s">
        <v>538</v>
      </c>
      <c r="C3870" s="22">
        <v>41</v>
      </c>
      <c r="D3870" s="86">
        <v>1852200</v>
      </c>
      <c r="E3870" s="86">
        <v>184100</v>
      </c>
      <c r="F3870" s="87">
        <v>627500</v>
      </c>
      <c r="G3870" s="87">
        <v>890700</v>
      </c>
      <c r="H3870" s="88">
        <v>149900</v>
      </c>
    </row>
    <row r="3871" spans="1:8" ht="18" customHeight="1" x14ac:dyDescent="0.15">
      <c r="A3871" s="250"/>
      <c r="B3871" s="23" t="s">
        <v>539</v>
      </c>
      <c r="C3871" s="22">
        <v>0</v>
      </c>
      <c r="D3871" s="86">
        <v>0</v>
      </c>
      <c r="E3871" s="86">
        <v>0</v>
      </c>
      <c r="F3871" s="87">
        <v>0</v>
      </c>
      <c r="G3871" s="87">
        <v>0</v>
      </c>
      <c r="H3871" s="88">
        <v>0</v>
      </c>
    </row>
    <row r="3872" spans="1:8" ht="18" customHeight="1" x14ac:dyDescent="0.15">
      <c r="A3872" s="250"/>
      <c r="B3872" s="23" t="s">
        <v>540</v>
      </c>
      <c r="C3872" s="22">
        <v>13</v>
      </c>
      <c r="D3872" s="86">
        <v>421300</v>
      </c>
      <c r="E3872" s="86">
        <v>200</v>
      </c>
      <c r="F3872" s="87">
        <v>132800</v>
      </c>
      <c r="G3872" s="87">
        <v>286200</v>
      </c>
      <c r="H3872" s="88">
        <v>2100</v>
      </c>
    </row>
    <row r="3873" spans="1:8" ht="18" customHeight="1" x14ac:dyDescent="0.15">
      <c r="A3873" s="250"/>
      <c r="B3873" s="23" t="s">
        <v>541</v>
      </c>
      <c r="C3873" s="22">
        <v>1</v>
      </c>
      <c r="D3873" s="86">
        <v>3000</v>
      </c>
      <c r="E3873" s="86">
        <v>600</v>
      </c>
      <c r="F3873" s="87">
        <v>500</v>
      </c>
      <c r="G3873" s="87">
        <v>1100</v>
      </c>
      <c r="H3873" s="88">
        <v>800</v>
      </c>
    </row>
    <row r="3874" spans="1:8" ht="18" customHeight="1" x14ac:dyDescent="0.15">
      <c r="A3874" s="251"/>
      <c r="B3874" s="23" t="s">
        <v>542</v>
      </c>
      <c r="C3874" s="22">
        <v>11</v>
      </c>
      <c r="D3874" s="86">
        <v>6916</v>
      </c>
      <c r="E3874" s="86">
        <v>466</v>
      </c>
      <c r="F3874" s="87">
        <v>0</v>
      </c>
      <c r="G3874" s="87">
        <v>5950</v>
      </c>
      <c r="H3874" s="88">
        <v>500</v>
      </c>
    </row>
    <row r="3875" spans="1:8" ht="18" customHeight="1" x14ac:dyDescent="0.15">
      <c r="A3875" s="18" t="s">
        <v>543</v>
      </c>
      <c r="B3875" s="17" t="s">
        <v>544</v>
      </c>
      <c r="C3875" s="16">
        <v>3322</v>
      </c>
      <c r="D3875" s="80">
        <v>12984058</v>
      </c>
      <c r="E3875" s="80">
        <v>829300</v>
      </c>
      <c r="F3875" s="81">
        <v>5494550</v>
      </c>
      <c r="G3875" s="81">
        <v>4878619</v>
      </c>
      <c r="H3875" s="82">
        <v>1781589</v>
      </c>
    </row>
    <row r="3876" spans="1:8" ht="13.5" x14ac:dyDescent="0.15">
      <c r="A3876" s="252" t="s">
        <v>545</v>
      </c>
      <c r="B3876" s="12" t="s">
        <v>546</v>
      </c>
      <c r="C3876" s="11">
        <v>5889</v>
      </c>
      <c r="D3876" s="89">
        <v>71676218</v>
      </c>
      <c r="E3876" s="89">
        <v>42725688</v>
      </c>
      <c r="F3876" s="90">
        <v>12423044</v>
      </c>
      <c r="G3876" s="90">
        <v>10626550</v>
      </c>
      <c r="H3876" s="91">
        <v>5900934</v>
      </c>
    </row>
    <row r="3877" spans="1:8" ht="18" customHeight="1" thickBot="1" x14ac:dyDescent="0.2">
      <c r="A3877" s="253"/>
      <c r="B3877" s="7" t="s">
        <v>547</v>
      </c>
      <c r="C3877" s="6">
        <v>4650</v>
      </c>
      <c r="D3877" s="92" t="s">
        <v>548</v>
      </c>
      <c r="E3877" s="92" t="s">
        <v>548</v>
      </c>
      <c r="F3877" s="92" t="s">
        <v>548</v>
      </c>
      <c r="G3877" s="92" t="s">
        <v>548</v>
      </c>
      <c r="H3877" s="93" t="s">
        <v>548</v>
      </c>
    </row>
    <row r="3878" spans="1:8" ht="18" customHeight="1" x14ac:dyDescent="0.15">
      <c r="A3878" s="3" t="s">
        <v>549</v>
      </c>
      <c r="B3878" s="2"/>
      <c r="C3878" s="2"/>
      <c r="D3878" s="2"/>
      <c r="E3878" s="2"/>
      <c r="F3878" s="2"/>
      <c r="G3878" s="2"/>
      <c r="H3878" s="2"/>
    </row>
    <row r="3879" spans="1:8" ht="24" x14ac:dyDescent="0.15">
      <c r="A3879" s="230" t="s">
        <v>449</v>
      </c>
      <c r="B3879" s="230"/>
      <c r="C3879" s="230"/>
      <c r="D3879" s="230"/>
      <c r="E3879" s="230"/>
      <c r="F3879" s="230"/>
      <c r="G3879" s="230"/>
      <c r="H3879" s="230"/>
    </row>
    <row r="3880" spans="1:8" ht="24" customHeight="1" x14ac:dyDescent="0.15">
      <c r="A3880" s="231"/>
      <c r="B3880" s="231"/>
      <c r="C3880" s="231"/>
      <c r="D3880" s="231"/>
      <c r="E3880" s="231"/>
      <c r="F3880" s="231"/>
      <c r="G3880" s="231"/>
      <c r="H3880" s="231"/>
    </row>
    <row r="3881" spans="1:8" ht="18" customHeight="1" thickBot="1" x14ac:dyDescent="0.2">
      <c r="A3881" s="58" t="s">
        <v>450</v>
      </c>
    </row>
    <row r="3882" spans="1:8" ht="14.25" x14ac:dyDescent="0.15">
      <c r="A3882" s="232" t="s">
        <v>451</v>
      </c>
      <c r="B3882" s="235" t="s">
        <v>452</v>
      </c>
      <c r="C3882" s="238" t="s">
        <v>453</v>
      </c>
      <c r="D3882" s="241" t="s">
        <v>454</v>
      </c>
      <c r="E3882" s="57"/>
      <c r="F3882" s="56"/>
      <c r="G3882" s="56"/>
      <c r="H3882" s="55"/>
    </row>
    <row r="3883" spans="1:8" ht="18" customHeight="1" x14ac:dyDescent="0.15">
      <c r="A3883" s="233"/>
      <c r="B3883" s="236"/>
      <c r="C3883" s="239"/>
      <c r="D3883" s="242"/>
      <c r="E3883" s="244" t="s">
        <v>455</v>
      </c>
      <c r="F3883" s="246" t="s">
        <v>456</v>
      </c>
      <c r="G3883" s="246" t="s">
        <v>457</v>
      </c>
      <c r="H3883" s="248" t="s">
        <v>458</v>
      </c>
    </row>
    <row r="3884" spans="1:8" ht="18" customHeight="1" thickBot="1" x14ac:dyDescent="0.2">
      <c r="A3884" s="234"/>
      <c r="B3884" s="237"/>
      <c r="C3884" s="240"/>
      <c r="D3884" s="243"/>
      <c r="E3884" s="245"/>
      <c r="F3884" s="247"/>
      <c r="G3884" s="247"/>
      <c r="H3884" s="249"/>
    </row>
    <row r="3885" spans="1:8" ht="15" thickTop="1" x14ac:dyDescent="0.15">
      <c r="A3885" s="54"/>
      <c r="B3885" s="53"/>
      <c r="C3885" s="52"/>
      <c r="D3885" s="51" t="s">
        <v>459</v>
      </c>
      <c r="E3885" s="50" t="s">
        <v>459</v>
      </c>
      <c r="F3885" s="49" t="s">
        <v>459</v>
      </c>
      <c r="G3885" s="49" t="s">
        <v>459</v>
      </c>
      <c r="H3885" s="48" t="s">
        <v>459</v>
      </c>
    </row>
    <row r="3886" spans="1:8" ht="18" customHeight="1" x14ac:dyDescent="0.15">
      <c r="A3886" s="250" t="s">
        <v>460</v>
      </c>
      <c r="B3886" s="61" t="s">
        <v>461</v>
      </c>
      <c r="C3886" s="62">
        <v>3641</v>
      </c>
      <c r="D3886" s="63">
        <v>520169505</v>
      </c>
      <c r="E3886" s="63">
        <v>197376969</v>
      </c>
      <c r="F3886" s="64">
        <v>158804993</v>
      </c>
      <c r="G3886" s="64">
        <v>158915566</v>
      </c>
      <c r="H3886" s="65">
        <v>5071976</v>
      </c>
    </row>
    <row r="3887" spans="1:8" ht="18" customHeight="1" x14ac:dyDescent="0.15">
      <c r="A3887" s="250"/>
      <c r="B3887" s="66" t="s">
        <v>462</v>
      </c>
      <c r="C3887" s="67">
        <v>31</v>
      </c>
      <c r="D3887" s="68">
        <v>318114</v>
      </c>
      <c r="E3887" s="68">
        <v>121667</v>
      </c>
      <c r="F3887" s="69">
        <v>154397</v>
      </c>
      <c r="G3887" s="69">
        <v>42049</v>
      </c>
      <c r="H3887" s="70">
        <v>0</v>
      </c>
    </row>
    <row r="3888" spans="1:8" ht="13.5" x14ac:dyDescent="0.15">
      <c r="A3888" s="250"/>
      <c r="B3888" s="66" t="s">
        <v>463</v>
      </c>
      <c r="C3888" s="67">
        <v>22</v>
      </c>
      <c r="D3888" s="68">
        <v>0</v>
      </c>
      <c r="E3888" s="68">
        <v>0</v>
      </c>
      <c r="F3888" s="69">
        <v>0</v>
      </c>
      <c r="G3888" s="69">
        <v>0</v>
      </c>
      <c r="H3888" s="70">
        <v>0</v>
      </c>
    </row>
    <row r="3889" spans="1:8" ht="18" customHeight="1" x14ac:dyDescent="0.15">
      <c r="A3889" s="250"/>
      <c r="B3889" s="71" t="s">
        <v>464</v>
      </c>
      <c r="C3889" s="72">
        <v>1</v>
      </c>
      <c r="D3889" s="73">
        <v>161970</v>
      </c>
      <c r="E3889" s="73">
        <v>120856</v>
      </c>
      <c r="F3889" s="74">
        <v>9754</v>
      </c>
      <c r="G3889" s="74">
        <v>29727</v>
      </c>
      <c r="H3889" s="75">
        <v>1632</v>
      </c>
    </row>
    <row r="3890" spans="1:8" ht="18" customHeight="1" x14ac:dyDescent="0.15">
      <c r="A3890" s="250"/>
      <c r="B3890" s="66" t="s">
        <v>465</v>
      </c>
      <c r="C3890" s="67">
        <v>60</v>
      </c>
      <c r="D3890" s="68">
        <v>11651598</v>
      </c>
      <c r="E3890" s="68">
        <v>3185754</v>
      </c>
      <c r="F3890" s="69">
        <v>2922626</v>
      </c>
      <c r="G3890" s="69">
        <v>5501156</v>
      </c>
      <c r="H3890" s="70">
        <v>42061</v>
      </c>
    </row>
    <row r="3891" spans="1:8" ht="13.5" x14ac:dyDescent="0.15">
      <c r="A3891" s="250"/>
      <c r="B3891" s="76" t="s">
        <v>466</v>
      </c>
      <c r="C3891" s="67">
        <v>154</v>
      </c>
      <c r="D3891" s="68">
        <v>16359009</v>
      </c>
      <c r="E3891" s="68">
        <v>3211259</v>
      </c>
      <c r="F3891" s="69">
        <v>1010151</v>
      </c>
      <c r="G3891" s="69">
        <v>12043506</v>
      </c>
      <c r="H3891" s="70">
        <v>94092</v>
      </c>
    </row>
    <row r="3892" spans="1:8" ht="18" customHeight="1" x14ac:dyDescent="0.15">
      <c r="A3892" s="251"/>
      <c r="B3892" s="77" t="s">
        <v>467</v>
      </c>
      <c r="C3892" s="72">
        <v>55</v>
      </c>
      <c r="D3892" s="73">
        <v>288472</v>
      </c>
      <c r="E3892" s="73">
        <v>269246</v>
      </c>
      <c r="F3892" s="74">
        <v>6112</v>
      </c>
      <c r="G3892" s="74">
        <v>11390</v>
      </c>
      <c r="H3892" s="75">
        <v>1723</v>
      </c>
    </row>
    <row r="3893" spans="1:8" ht="18" customHeight="1" x14ac:dyDescent="0.15">
      <c r="A3893" s="30" t="s">
        <v>468</v>
      </c>
      <c r="B3893" s="78" t="s">
        <v>469</v>
      </c>
      <c r="C3893" s="79">
        <v>35</v>
      </c>
      <c r="D3893" s="80">
        <v>122857</v>
      </c>
      <c r="E3893" s="80">
        <v>120872</v>
      </c>
      <c r="F3893" s="81">
        <v>1192</v>
      </c>
      <c r="G3893" s="81">
        <v>5</v>
      </c>
      <c r="H3893" s="82">
        <v>787</v>
      </c>
    </row>
    <row r="3894" spans="1:8" ht="13.5" x14ac:dyDescent="0.15">
      <c r="A3894" s="252" t="s">
        <v>470</v>
      </c>
      <c r="B3894" s="17" t="s">
        <v>471</v>
      </c>
      <c r="C3894" s="16">
        <v>3041</v>
      </c>
      <c r="D3894" s="83">
        <v>59440624</v>
      </c>
      <c r="E3894" s="83">
        <v>9024469</v>
      </c>
      <c r="F3894" s="84">
        <v>7308495</v>
      </c>
      <c r="G3894" s="84">
        <v>35485227</v>
      </c>
      <c r="H3894" s="85">
        <v>7622431</v>
      </c>
    </row>
    <row r="3895" spans="1:8" ht="18" customHeight="1" x14ac:dyDescent="0.15">
      <c r="A3895" s="250"/>
      <c r="B3895" s="23" t="s">
        <v>472</v>
      </c>
      <c r="C3895" s="22">
        <v>2873</v>
      </c>
      <c r="D3895" s="86">
        <v>14097817</v>
      </c>
      <c r="E3895" s="86">
        <v>598385</v>
      </c>
      <c r="F3895" s="87">
        <v>2922566</v>
      </c>
      <c r="G3895" s="87">
        <v>8666926</v>
      </c>
      <c r="H3895" s="88">
        <v>1909939</v>
      </c>
    </row>
    <row r="3896" spans="1:8" ht="18" customHeight="1" x14ac:dyDescent="0.15">
      <c r="A3896" s="250"/>
      <c r="B3896" s="24" t="s">
        <v>473</v>
      </c>
      <c r="C3896" s="22">
        <v>610</v>
      </c>
      <c r="D3896" s="86">
        <v>34249020</v>
      </c>
      <c r="E3896" s="86">
        <v>2092054</v>
      </c>
      <c r="F3896" s="87">
        <v>5683721</v>
      </c>
      <c r="G3896" s="87">
        <v>19866505</v>
      </c>
      <c r="H3896" s="88">
        <v>6606738</v>
      </c>
    </row>
    <row r="3897" spans="1:8" ht="18" customHeight="1" x14ac:dyDescent="0.15">
      <c r="A3897" s="250"/>
      <c r="B3897" s="23" t="s">
        <v>474</v>
      </c>
      <c r="C3897" s="22">
        <v>1498</v>
      </c>
      <c r="D3897" s="86">
        <v>44810800</v>
      </c>
      <c r="E3897" s="86">
        <v>4033820</v>
      </c>
      <c r="F3897" s="87">
        <v>7202186</v>
      </c>
      <c r="G3897" s="87">
        <v>29807967</v>
      </c>
      <c r="H3897" s="88">
        <v>3766825</v>
      </c>
    </row>
    <row r="3898" spans="1:8" ht="18" customHeight="1" x14ac:dyDescent="0.15">
      <c r="A3898" s="250"/>
      <c r="B3898" s="23" t="s">
        <v>475</v>
      </c>
      <c r="C3898" s="22">
        <v>192</v>
      </c>
      <c r="D3898" s="86">
        <v>4103200</v>
      </c>
      <c r="E3898" s="86">
        <v>151482</v>
      </c>
      <c r="F3898" s="87">
        <v>155829</v>
      </c>
      <c r="G3898" s="87">
        <v>3744609</v>
      </c>
      <c r="H3898" s="88">
        <v>51278</v>
      </c>
    </row>
    <row r="3899" spans="1:8" ht="18" customHeight="1" x14ac:dyDescent="0.15">
      <c r="A3899" s="250"/>
      <c r="B3899" s="23" t="s">
        <v>476</v>
      </c>
      <c r="C3899" s="22">
        <v>103</v>
      </c>
      <c r="D3899" s="86">
        <v>1059100</v>
      </c>
      <c r="E3899" s="86">
        <v>233350</v>
      </c>
      <c r="F3899" s="87">
        <v>56100</v>
      </c>
      <c r="G3899" s="87">
        <v>501070</v>
      </c>
      <c r="H3899" s="88">
        <v>268580</v>
      </c>
    </row>
    <row r="3900" spans="1:8" ht="18" customHeight="1" x14ac:dyDescent="0.15">
      <c r="A3900" s="250"/>
      <c r="B3900" s="23" t="s">
        <v>477</v>
      </c>
      <c r="C3900" s="22">
        <v>32</v>
      </c>
      <c r="D3900" s="86">
        <v>273021</v>
      </c>
      <c r="E3900" s="86">
        <v>119487</v>
      </c>
      <c r="F3900" s="87">
        <v>16517</v>
      </c>
      <c r="G3900" s="87">
        <v>88742</v>
      </c>
      <c r="H3900" s="88">
        <v>48274</v>
      </c>
    </row>
    <row r="3901" spans="1:8" ht="18" customHeight="1" x14ac:dyDescent="0.15">
      <c r="A3901" s="250"/>
      <c r="B3901" s="23" t="s">
        <v>478</v>
      </c>
      <c r="C3901" s="22">
        <v>0</v>
      </c>
      <c r="D3901" s="86">
        <v>0</v>
      </c>
      <c r="E3901" s="86">
        <v>0</v>
      </c>
      <c r="F3901" s="87">
        <v>0</v>
      </c>
      <c r="G3901" s="87">
        <v>0</v>
      </c>
      <c r="H3901" s="88">
        <v>0</v>
      </c>
    </row>
    <row r="3902" spans="1:8" ht="18" customHeight="1" x14ac:dyDescent="0.15">
      <c r="A3902" s="250"/>
      <c r="B3902" s="23" t="s">
        <v>479</v>
      </c>
      <c r="C3902" s="22">
        <v>255</v>
      </c>
      <c r="D3902" s="86">
        <v>10758630</v>
      </c>
      <c r="E3902" s="86">
        <v>785900</v>
      </c>
      <c r="F3902" s="87">
        <v>3116870</v>
      </c>
      <c r="G3902" s="87">
        <v>3911570</v>
      </c>
      <c r="H3902" s="88">
        <v>2944290</v>
      </c>
    </row>
    <row r="3903" spans="1:8" ht="18" customHeight="1" x14ac:dyDescent="0.15">
      <c r="A3903" s="250"/>
      <c r="B3903" s="23" t="s">
        <v>480</v>
      </c>
      <c r="C3903" s="22">
        <v>2951</v>
      </c>
      <c r="D3903" s="86">
        <v>60646747</v>
      </c>
      <c r="E3903" s="86">
        <v>12678517</v>
      </c>
      <c r="F3903" s="87">
        <v>9687238</v>
      </c>
      <c r="G3903" s="87">
        <v>32074811</v>
      </c>
      <c r="H3903" s="88">
        <v>6206179</v>
      </c>
    </row>
    <row r="3904" spans="1:8" ht="13.5" x14ac:dyDescent="0.15">
      <c r="A3904" s="250"/>
      <c r="B3904" s="23" t="s">
        <v>481</v>
      </c>
      <c r="C3904" s="22">
        <v>596</v>
      </c>
      <c r="D3904" s="86">
        <v>16256525</v>
      </c>
      <c r="E3904" s="86">
        <v>1731284</v>
      </c>
      <c r="F3904" s="87">
        <v>3474111</v>
      </c>
      <c r="G3904" s="87">
        <v>9782816</v>
      </c>
      <c r="H3904" s="88">
        <v>1268312</v>
      </c>
    </row>
    <row r="3905" spans="1:8" ht="18" customHeight="1" x14ac:dyDescent="0.15">
      <c r="A3905" s="250"/>
      <c r="B3905" s="23" t="s">
        <v>482</v>
      </c>
      <c r="C3905" s="22">
        <v>42716</v>
      </c>
      <c r="D3905" s="86">
        <v>13711271</v>
      </c>
      <c r="E3905" s="86">
        <v>475948</v>
      </c>
      <c r="F3905" s="87">
        <v>6855894</v>
      </c>
      <c r="G3905" s="87">
        <v>6111848</v>
      </c>
      <c r="H3905" s="88">
        <v>267580</v>
      </c>
    </row>
    <row r="3906" spans="1:8" ht="18" customHeight="1" x14ac:dyDescent="0.15">
      <c r="A3906" s="250"/>
      <c r="B3906" s="23" t="s">
        <v>483</v>
      </c>
      <c r="C3906" s="22">
        <v>761</v>
      </c>
      <c r="D3906" s="86">
        <v>3624360</v>
      </c>
      <c r="E3906" s="86">
        <v>5761</v>
      </c>
      <c r="F3906" s="87">
        <v>2193733</v>
      </c>
      <c r="G3906" s="87">
        <v>1424866</v>
      </c>
      <c r="H3906" s="88">
        <v>0</v>
      </c>
    </row>
    <row r="3907" spans="1:8" ht="18" customHeight="1" x14ac:dyDescent="0.15">
      <c r="A3907" s="250"/>
      <c r="B3907" s="23" t="s">
        <v>484</v>
      </c>
      <c r="C3907" s="22">
        <v>47</v>
      </c>
      <c r="D3907" s="86">
        <v>629000</v>
      </c>
      <c r="E3907" s="86">
        <v>165375</v>
      </c>
      <c r="F3907" s="87">
        <v>87401</v>
      </c>
      <c r="G3907" s="87">
        <v>313624</v>
      </c>
      <c r="H3907" s="88">
        <v>62600</v>
      </c>
    </row>
    <row r="3908" spans="1:8" ht="18" customHeight="1" x14ac:dyDescent="0.15">
      <c r="A3908" s="250"/>
      <c r="B3908" s="23" t="s">
        <v>485</v>
      </c>
      <c r="C3908" s="22">
        <v>413</v>
      </c>
      <c r="D3908" s="86">
        <v>2093536</v>
      </c>
      <c r="E3908" s="86">
        <v>257430</v>
      </c>
      <c r="F3908" s="87">
        <v>975172</v>
      </c>
      <c r="G3908" s="87">
        <v>785133</v>
      </c>
      <c r="H3908" s="88">
        <v>75800</v>
      </c>
    </row>
    <row r="3909" spans="1:8" ht="18" customHeight="1" x14ac:dyDescent="0.15">
      <c r="A3909" s="250"/>
      <c r="B3909" s="23" t="s">
        <v>486</v>
      </c>
      <c r="C3909" s="22">
        <v>318</v>
      </c>
      <c r="D3909" s="86">
        <v>8276100</v>
      </c>
      <c r="E3909" s="86">
        <v>852761</v>
      </c>
      <c r="F3909" s="87">
        <v>1572248</v>
      </c>
      <c r="G3909" s="87">
        <v>5363703</v>
      </c>
      <c r="H3909" s="88">
        <v>487387</v>
      </c>
    </row>
    <row r="3910" spans="1:8" ht="13.5" x14ac:dyDescent="0.15">
      <c r="A3910" s="250"/>
      <c r="B3910" s="23" t="s">
        <v>487</v>
      </c>
      <c r="C3910" s="22">
        <v>42</v>
      </c>
      <c r="D3910" s="86">
        <v>1887200</v>
      </c>
      <c r="E3910" s="86">
        <v>202800</v>
      </c>
      <c r="F3910" s="87">
        <v>627700</v>
      </c>
      <c r="G3910" s="87">
        <v>904000</v>
      </c>
      <c r="H3910" s="88">
        <v>152700</v>
      </c>
    </row>
    <row r="3911" spans="1:8" ht="18" customHeight="1" x14ac:dyDescent="0.15">
      <c r="A3911" s="250"/>
      <c r="B3911" s="23" t="s">
        <v>488</v>
      </c>
      <c r="C3911" s="22">
        <v>0</v>
      </c>
      <c r="D3911" s="86">
        <v>0</v>
      </c>
      <c r="E3911" s="86">
        <v>0</v>
      </c>
      <c r="F3911" s="87">
        <v>0</v>
      </c>
      <c r="G3911" s="87">
        <v>0</v>
      </c>
      <c r="H3911" s="88">
        <v>0</v>
      </c>
    </row>
    <row r="3912" spans="1:8" ht="18" customHeight="1" x14ac:dyDescent="0.15">
      <c r="A3912" s="250"/>
      <c r="B3912" s="23" t="s">
        <v>489</v>
      </c>
      <c r="C3912" s="22">
        <v>13</v>
      </c>
      <c r="D3912" s="86">
        <v>421300</v>
      </c>
      <c r="E3912" s="86">
        <v>200</v>
      </c>
      <c r="F3912" s="87">
        <v>132800</v>
      </c>
      <c r="G3912" s="87">
        <v>286200</v>
      </c>
      <c r="H3912" s="88">
        <v>2100</v>
      </c>
    </row>
    <row r="3913" spans="1:8" ht="18" customHeight="1" x14ac:dyDescent="0.15">
      <c r="A3913" s="250"/>
      <c r="B3913" s="23" t="s">
        <v>490</v>
      </c>
      <c r="C3913" s="22">
        <v>1</v>
      </c>
      <c r="D3913" s="86">
        <v>3000</v>
      </c>
      <c r="E3913" s="86">
        <v>100</v>
      </c>
      <c r="F3913" s="87">
        <v>500</v>
      </c>
      <c r="G3913" s="87">
        <v>1600</v>
      </c>
      <c r="H3913" s="88">
        <v>800</v>
      </c>
    </row>
    <row r="3914" spans="1:8" ht="18" customHeight="1" x14ac:dyDescent="0.15">
      <c r="A3914" s="251"/>
      <c r="B3914" s="23" t="s">
        <v>491</v>
      </c>
      <c r="C3914" s="22">
        <v>11</v>
      </c>
      <c r="D3914" s="86">
        <v>6916</v>
      </c>
      <c r="E3914" s="86">
        <v>466</v>
      </c>
      <c r="F3914" s="87">
        <v>0</v>
      </c>
      <c r="G3914" s="87">
        <v>5950</v>
      </c>
      <c r="H3914" s="88">
        <v>500</v>
      </c>
    </row>
    <row r="3915" spans="1:8" ht="18" customHeight="1" x14ac:dyDescent="0.15">
      <c r="A3915" s="18" t="s">
        <v>492</v>
      </c>
      <c r="B3915" s="17" t="s">
        <v>493</v>
      </c>
      <c r="C3915" s="16">
        <v>3407</v>
      </c>
      <c r="D3915" s="80">
        <v>14758407</v>
      </c>
      <c r="E3915" s="80">
        <v>945800</v>
      </c>
      <c r="F3915" s="81">
        <v>6163555</v>
      </c>
      <c r="G3915" s="81">
        <v>5452213</v>
      </c>
      <c r="H3915" s="82">
        <v>2196839</v>
      </c>
    </row>
    <row r="3916" spans="1:8" ht="13.5" x14ac:dyDescent="0.15">
      <c r="A3916" s="252" t="s">
        <v>494</v>
      </c>
      <c r="B3916" s="12" t="s">
        <v>495</v>
      </c>
      <c r="C3916" s="11">
        <v>5809</v>
      </c>
      <c r="D3916" s="89">
        <v>72245094</v>
      </c>
      <c r="E3916" s="89">
        <v>42924677</v>
      </c>
      <c r="F3916" s="90">
        <v>12615850</v>
      </c>
      <c r="G3916" s="90">
        <v>10755300</v>
      </c>
      <c r="H3916" s="91">
        <v>5949266</v>
      </c>
    </row>
    <row r="3917" spans="1:8" ht="18" customHeight="1" thickBot="1" x14ac:dyDescent="0.2">
      <c r="A3917" s="253"/>
      <c r="B3917" s="7" t="s">
        <v>496</v>
      </c>
      <c r="C3917" s="6">
        <v>4552</v>
      </c>
      <c r="D3917" s="92" t="s">
        <v>54</v>
      </c>
      <c r="E3917" s="92" t="s">
        <v>497</v>
      </c>
      <c r="F3917" s="92" t="s">
        <v>498</v>
      </c>
      <c r="G3917" s="92" t="s">
        <v>498</v>
      </c>
      <c r="H3917" s="93" t="s">
        <v>498</v>
      </c>
    </row>
    <row r="3918" spans="1:8" ht="18" customHeight="1" x14ac:dyDescent="0.15">
      <c r="A3918" s="3" t="s">
        <v>499</v>
      </c>
      <c r="B3918" s="2"/>
      <c r="C3918" s="2"/>
      <c r="D3918" s="2"/>
      <c r="E3918" s="2"/>
      <c r="F3918" s="2"/>
      <c r="G3918" s="2"/>
      <c r="H3918" s="2"/>
    </row>
    <row r="3919" spans="1:8" ht="24" x14ac:dyDescent="0.15">
      <c r="A3919" s="230" t="s">
        <v>399</v>
      </c>
      <c r="B3919" s="230"/>
      <c r="C3919" s="230"/>
      <c r="D3919" s="230"/>
      <c r="E3919" s="230"/>
      <c r="F3919" s="230"/>
      <c r="G3919" s="230"/>
      <c r="H3919" s="230"/>
    </row>
    <row r="3920" spans="1:8" ht="24" customHeight="1" x14ac:dyDescent="0.15">
      <c r="A3920" s="231"/>
      <c r="B3920" s="231"/>
      <c r="C3920" s="231"/>
      <c r="D3920" s="231"/>
      <c r="E3920" s="231"/>
      <c r="F3920" s="231"/>
      <c r="G3920" s="231"/>
      <c r="H3920" s="231"/>
    </row>
    <row r="3921" spans="1:8" ht="18" customHeight="1" thickBot="1" x14ac:dyDescent="0.2">
      <c r="A3921" s="58" t="s">
        <v>400</v>
      </c>
    </row>
    <row r="3922" spans="1:8" ht="14.25" x14ac:dyDescent="0.15">
      <c r="A3922" s="232" t="s">
        <v>401</v>
      </c>
      <c r="B3922" s="235" t="s">
        <v>402</v>
      </c>
      <c r="C3922" s="238" t="s">
        <v>403</v>
      </c>
      <c r="D3922" s="241" t="s">
        <v>404</v>
      </c>
      <c r="E3922" s="57"/>
      <c r="F3922" s="56"/>
      <c r="G3922" s="56"/>
      <c r="H3922" s="55"/>
    </row>
    <row r="3923" spans="1:8" ht="18" customHeight="1" x14ac:dyDescent="0.15">
      <c r="A3923" s="233"/>
      <c r="B3923" s="236"/>
      <c r="C3923" s="239"/>
      <c r="D3923" s="242"/>
      <c r="E3923" s="244" t="s">
        <v>405</v>
      </c>
      <c r="F3923" s="246" t="s">
        <v>406</v>
      </c>
      <c r="G3923" s="246" t="s">
        <v>407</v>
      </c>
      <c r="H3923" s="248" t="s">
        <v>408</v>
      </c>
    </row>
    <row r="3924" spans="1:8" ht="18" customHeight="1" thickBot="1" x14ac:dyDescent="0.2">
      <c r="A3924" s="234"/>
      <c r="B3924" s="237"/>
      <c r="C3924" s="240"/>
      <c r="D3924" s="243"/>
      <c r="E3924" s="245"/>
      <c r="F3924" s="247"/>
      <c r="G3924" s="247"/>
      <c r="H3924" s="249"/>
    </row>
    <row r="3925" spans="1:8" ht="15" thickTop="1" x14ac:dyDescent="0.15">
      <c r="A3925" s="54"/>
      <c r="B3925" s="53"/>
      <c r="C3925" s="52"/>
      <c r="D3925" s="51" t="s">
        <v>409</v>
      </c>
      <c r="E3925" s="50" t="s">
        <v>409</v>
      </c>
      <c r="F3925" s="49" t="s">
        <v>409</v>
      </c>
      <c r="G3925" s="49" t="s">
        <v>409</v>
      </c>
      <c r="H3925" s="48" t="s">
        <v>409</v>
      </c>
    </row>
    <row r="3926" spans="1:8" ht="18" customHeight="1" x14ac:dyDescent="0.15">
      <c r="A3926" s="250" t="s">
        <v>410</v>
      </c>
      <c r="B3926" s="61" t="s">
        <v>411</v>
      </c>
      <c r="C3926" s="62">
        <v>3648</v>
      </c>
      <c r="D3926" s="63">
        <v>525362502</v>
      </c>
      <c r="E3926" s="63">
        <v>200336988</v>
      </c>
      <c r="F3926" s="64">
        <v>159679423</v>
      </c>
      <c r="G3926" s="64">
        <v>160388205</v>
      </c>
      <c r="H3926" s="65">
        <v>4957885</v>
      </c>
    </row>
    <row r="3927" spans="1:8" ht="18" customHeight="1" x14ac:dyDescent="0.15">
      <c r="A3927" s="250"/>
      <c r="B3927" s="66" t="s">
        <v>412</v>
      </c>
      <c r="C3927" s="67">
        <v>31</v>
      </c>
      <c r="D3927" s="68">
        <v>325912</v>
      </c>
      <c r="E3927" s="68">
        <v>128509</v>
      </c>
      <c r="F3927" s="69">
        <v>153407</v>
      </c>
      <c r="G3927" s="69">
        <v>43996</v>
      </c>
      <c r="H3927" s="70">
        <v>0</v>
      </c>
    </row>
    <row r="3928" spans="1:8" ht="13.5" x14ac:dyDescent="0.15">
      <c r="A3928" s="250"/>
      <c r="B3928" s="66" t="s">
        <v>413</v>
      </c>
      <c r="C3928" s="67">
        <v>20</v>
      </c>
      <c r="D3928" s="68">
        <v>0</v>
      </c>
      <c r="E3928" s="68">
        <v>0</v>
      </c>
      <c r="F3928" s="69">
        <v>0</v>
      </c>
      <c r="G3928" s="69">
        <v>0</v>
      </c>
      <c r="H3928" s="70">
        <v>0</v>
      </c>
    </row>
    <row r="3929" spans="1:8" ht="18" customHeight="1" x14ac:dyDescent="0.15">
      <c r="A3929" s="250"/>
      <c r="B3929" s="71" t="s">
        <v>414</v>
      </c>
      <c r="C3929" s="72">
        <v>1</v>
      </c>
      <c r="D3929" s="73">
        <v>160341</v>
      </c>
      <c r="E3929" s="73">
        <v>119649</v>
      </c>
      <c r="F3929" s="74">
        <v>9647</v>
      </c>
      <c r="G3929" s="74">
        <v>29428</v>
      </c>
      <c r="H3929" s="75">
        <v>1615</v>
      </c>
    </row>
    <row r="3930" spans="1:8" ht="18" customHeight="1" x14ac:dyDescent="0.15">
      <c r="A3930" s="250"/>
      <c r="B3930" s="66" t="s">
        <v>415</v>
      </c>
      <c r="C3930" s="67">
        <v>57</v>
      </c>
      <c r="D3930" s="68">
        <v>11821256</v>
      </c>
      <c r="E3930" s="68">
        <v>3176101</v>
      </c>
      <c r="F3930" s="69">
        <v>3049547</v>
      </c>
      <c r="G3930" s="69">
        <v>5561710</v>
      </c>
      <c r="H3930" s="70">
        <v>33896</v>
      </c>
    </row>
    <row r="3931" spans="1:8" ht="13.5" x14ac:dyDescent="0.15">
      <c r="A3931" s="250"/>
      <c r="B3931" s="76" t="s">
        <v>416</v>
      </c>
      <c r="C3931" s="67">
        <v>152</v>
      </c>
      <c r="D3931" s="68">
        <v>15767621</v>
      </c>
      <c r="E3931" s="68">
        <v>3216662</v>
      </c>
      <c r="F3931" s="69">
        <v>1006995</v>
      </c>
      <c r="G3931" s="69">
        <v>11459110</v>
      </c>
      <c r="H3931" s="70">
        <v>84853</v>
      </c>
    </row>
    <row r="3932" spans="1:8" ht="18" customHeight="1" x14ac:dyDescent="0.15">
      <c r="A3932" s="251"/>
      <c r="B3932" s="77" t="s">
        <v>417</v>
      </c>
      <c r="C3932" s="72">
        <v>55</v>
      </c>
      <c r="D3932" s="73">
        <v>274505</v>
      </c>
      <c r="E3932" s="73">
        <v>257042</v>
      </c>
      <c r="F3932" s="74">
        <v>4697</v>
      </c>
      <c r="G3932" s="74">
        <v>11154</v>
      </c>
      <c r="H3932" s="75">
        <v>1610</v>
      </c>
    </row>
    <row r="3933" spans="1:8" ht="18" customHeight="1" x14ac:dyDescent="0.15">
      <c r="A3933" s="30" t="s">
        <v>418</v>
      </c>
      <c r="B3933" s="78" t="s">
        <v>419</v>
      </c>
      <c r="C3933" s="79">
        <v>35</v>
      </c>
      <c r="D3933" s="80">
        <v>132808</v>
      </c>
      <c r="E3933" s="80">
        <v>130620</v>
      </c>
      <c r="F3933" s="81">
        <v>1143</v>
      </c>
      <c r="G3933" s="81">
        <v>7</v>
      </c>
      <c r="H3933" s="82">
        <v>1037</v>
      </c>
    </row>
    <row r="3934" spans="1:8" ht="13.5" x14ac:dyDescent="0.15">
      <c r="A3934" s="252" t="s">
        <v>420</v>
      </c>
      <c r="B3934" s="17" t="s">
        <v>421</v>
      </c>
      <c r="C3934" s="16">
        <v>3039</v>
      </c>
      <c r="D3934" s="83">
        <v>59420284</v>
      </c>
      <c r="E3934" s="83">
        <v>9052019</v>
      </c>
      <c r="F3934" s="84">
        <v>7251806</v>
      </c>
      <c r="G3934" s="84">
        <v>35531707</v>
      </c>
      <c r="H3934" s="85">
        <v>7584750</v>
      </c>
    </row>
    <row r="3935" spans="1:8" ht="18" customHeight="1" x14ac:dyDescent="0.15">
      <c r="A3935" s="250"/>
      <c r="B3935" s="23" t="s">
        <v>422</v>
      </c>
      <c r="C3935" s="22">
        <v>2866</v>
      </c>
      <c r="D3935" s="86">
        <v>14076941</v>
      </c>
      <c r="E3935" s="86">
        <v>629599</v>
      </c>
      <c r="F3935" s="87">
        <v>2772851</v>
      </c>
      <c r="G3935" s="87">
        <v>8759071</v>
      </c>
      <c r="H3935" s="88">
        <v>1915418</v>
      </c>
    </row>
    <row r="3936" spans="1:8" ht="18" customHeight="1" x14ac:dyDescent="0.15">
      <c r="A3936" s="250"/>
      <c r="B3936" s="24" t="s">
        <v>423</v>
      </c>
      <c r="C3936" s="22">
        <v>613</v>
      </c>
      <c r="D3936" s="86">
        <v>34468950</v>
      </c>
      <c r="E3936" s="86">
        <v>2077422</v>
      </c>
      <c r="F3936" s="87">
        <v>5536184</v>
      </c>
      <c r="G3936" s="87">
        <v>20348928</v>
      </c>
      <c r="H3936" s="88">
        <v>6506415</v>
      </c>
    </row>
    <row r="3937" spans="1:8" ht="18" customHeight="1" x14ac:dyDescent="0.15">
      <c r="A3937" s="250"/>
      <c r="B3937" s="23" t="s">
        <v>424</v>
      </c>
      <c r="C3937" s="22">
        <v>1493</v>
      </c>
      <c r="D3937" s="86">
        <v>44519600</v>
      </c>
      <c r="E3937" s="86">
        <v>3963320</v>
      </c>
      <c r="F3937" s="87">
        <v>7195696</v>
      </c>
      <c r="G3937" s="87">
        <v>29603687</v>
      </c>
      <c r="H3937" s="88">
        <v>3756895</v>
      </c>
    </row>
    <row r="3938" spans="1:8" ht="18" customHeight="1" x14ac:dyDescent="0.15">
      <c r="A3938" s="250"/>
      <c r="B3938" s="23" t="s">
        <v>425</v>
      </c>
      <c r="C3938" s="22">
        <v>182</v>
      </c>
      <c r="D3938" s="86">
        <v>4038800</v>
      </c>
      <c r="E3938" s="86">
        <v>137916</v>
      </c>
      <c r="F3938" s="87">
        <v>155829</v>
      </c>
      <c r="G3938" s="87">
        <v>3696056</v>
      </c>
      <c r="H3938" s="88">
        <v>48997</v>
      </c>
    </row>
    <row r="3939" spans="1:8" ht="18" customHeight="1" x14ac:dyDescent="0.15">
      <c r="A3939" s="250"/>
      <c r="B3939" s="23" t="s">
        <v>426</v>
      </c>
      <c r="C3939" s="22">
        <v>103</v>
      </c>
      <c r="D3939" s="86">
        <v>1059100</v>
      </c>
      <c r="E3939" s="86">
        <v>230950</v>
      </c>
      <c r="F3939" s="87">
        <v>56100</v>
      </c>
      <c r="G3939" s="87">
        <v>500970</v>
      </c>
      <c r="H3939" s="88">
        <v>271080</v>
      </c>
    </row>
    <row r="3940" spans="1:8" ht="18" customHeight="1" x14ac:dyDescent="0.15">
      <c r="A3940" s="250"/>
      <c r="B3940" s="23" t="s">
        <v>427</v>
      </c>
      <c r="C3940" s="22">
        <v>32</v>
      </c>
      <c r="D3940" s="86">
        <v>273021</v>
      </c>
      <c r="E3940" s="86">
        <v>119392</v>
      </c>
      <c r="F3940" s="87">
        <v>16517</v>
      </c>
      <c r="G3940" s="87">
        <v>88742</v>
      </c>
      <c r="H3940" s="88">
        <v>48369</v>
      </c>
    </row>
    <row r="3941" spans="1:8" ht="18" customHeight="1" x14ac:dyDescent="0.15">
      <c r="A3941" s="250"/>
      <c r="B3941" s="23" t="s">
        <v>428</v>
      </c>
      <c r="C3941" s="22">
        <v>0</v>
      </c>
      <c r="D3941" s="86">
        <v>0</v>
      </c>
      <c r="E3941" s="86">
        <v>0</v>
      </c>
      <c r="F3941" s="87">
        <v>0</v>
      </c>
      <c r="G3941" s="87">
        <v>0</v>
      </c>
      <c r="H3941" s="88">
        <v>0</v>
      </c>
    </row>
    <row r="3942" spans="1:8" ht="18" customHeight="1" x14ac:dyDescent="0.15">
      <c r="A3942" s="250"/>
      <c r="B3942" s="23" t="s">
        <v>429</v>
      </c>
      <c r="C3942" s="22">
        <v>257</v>
      </c>
      <c r="D3942" s="86">
        <v>10842250</v>
      </c>
      <c r="E3942" s="86">
        <v>807980</v>
      </c>
      <c r="F3942" s="87">
        <v>3159190</v>
      </c>
      <c r="G3942" s="87">
        <v>3887620</v>
      </c>
      <c r="H3942" s="88">
        <v>2987460</v>
      </c>
    </row>
    <row r="3943" spans="1:8" ht="18" customHeight="1" x14ac:dyDescent="0.15">
      <c r="A3943" s="250"/>
      <c r="B3943" s="23" t="s">
        <v>430</v>
      </c>
      <c r="C3943" s="22">
        <v>2944</v>
      </c>
      <c r="D3943" s="86">
        <v>60621754</v>
      </c>
      <c r="E3943" s="86">
        <v>12713328</v>
      </c>
      <c r="F3943" s="87">
        <v>9649626</v>
      </c>
      <c r="G3943" s="87">
        <v>32068030</v>
      </c>
      <c r="H3943" s="88">
        <v>6190768</v>
      </c>
    </row>
    <row r="3944" spans="1:8" ht="13.5" x14ac:dyDescent="0.15">
      <c r="A3944" s="250"/>
      <c r="B3944" s="23" t="s">
        <v>431</v>
      </c>
      <c r="C3944" s="22">
        <v>598</v>
      </c>
      <c r="D3944" s="86">
        <v>16396525</v>
      </c>
      <c r="E3944" s="86">
        <v>1759340</v>
      </c>
      <c r="F3944" s="87">
        <v>3518170</v>
      </c>
      <c r="G3944" s="87">
        <v>9832251</v>
      </c>
      <c r="H3944" s="88">
        <v>1286762</v>
      </c>
    </row>
    <row r="3945" spans="1:8" ht="18" customHeight="1" x14ac:dyDescent="0.15">
      <c r="A3945" s="250"/>
      <c r="B3945" s="23" t="s">
        <v>432</v>
      </c>
      <c r="C3945" s="22">
        <v>42505</v>
      </c>
      <c r="D3945" s="86">
        <v>13843888</v>
      </c>
      <c r="E3945" s="86">
        <v>473948</v>
      </c>
      <c r="F3945" s="87">
        <v>7004443</v>
      </c>
      <c r="G3945" s="87">
        <v>6102946</v>
      </c>
      <c r="H3945" s="88">
        <v>262550</v>
      </c>
    </row>
    <row r="3946" spans="1:8" ht="18" customHeight="1" x14ac:dyDescent="0.15">
      <c r="A3946" s="250"/>
      <c r="B3946" s="23" t="s">
        <v>433</v>
      </c>
      <c r="C3946" s="22">
        <v>761</v>
      </c>
      <c r="D3946" s="86">
        <v>3624360</v>
      </c>
      <c r="E3946" s="86">
        <v>5761</v>
      </c>
      <c r="F3946" s="87">
        <v>2193733</v>
      </c>
      <c r="G3946" s="87">
        <v>1424866</v>
      </c>
      <c r="H3946" s="88">
        <v>0</v>
      </c>
    </row>
    <row r="3947" spans="1:8" ht="18" customHeight="1" x14ac:dyDescent="0.15">
      <c r="A3947" s="250"/>
      <c r="B3947" s="23" t="s">
        <v>434</v>
      </c>
      <c r="C3947" s="22">
        <v>46</v>
      </c>
      <c r="D3947" s="86">
        <v>559000</v>
      </c>
      <c r="E3947" s="86">
        <v>98819</v>
      </c>
      <c r="F3947" s="87">
        <v>89601</v>
      </c>
      <c r="G3947" s="87">
        <v>302980</v>
      </c>
      <c r="H3947" s="88">
        <v>67600</v>
      </c>
    </row>
    <row r="3948" spans="1:8" ht="18" customHeight="1" x14ac:dyDescent="0.15">
      <c r="A3948" s="250"/>
      <c r="B3948" s="23" t="s">
        <v>435</v>
      </c>
      <c r="C3948" s="22">
        <v>415</v>
      </c>
      <c r="D3948" s="86">
        <v>2089601</v>
      </c>
      <c r="E3948" s="86">
        <v>257822</v>
      </c>
      <c r="F3948" s="87">
        <v>973527</v>
      </c>
      <c r="G3948" s="87">
        <v>782452</v>
      </c>
      <c r="H3948" s="88">
        <v>75800</v>
      </c>
    </row>
    <row r="3949" spans="1:8" ht="18" customHeight="1" x14ac:dyDescent="0.15">
      <c r="A3949" s="250"/>
      <c r="B3949" s="23" t="s">
        <v>436</v>
      </c>
      <c r="C3949" s="22">
        <v>324</v>
      </c>
      <c r="D3949" s="86">
        <v>8529890</v>
      </c>
      <c r="E3949" s="86">
        <v>868241</v>
      </c>
      <c r="F3949" s="87">
        <v>1643258</v>
      </c>
      <c r="G3949" s="87">
        <v>5501403</v>
      </c>
      <c r="H3949" s="88">
        <v>516987</v>
      </c>
    </row>
    <row r="3950" spans="1:8" ht="13.5" x14ac:dyDescent="0.15">
      <c r="A3950" s="250"/>
      <c r="B3950" s="23" t="s">
        <v>437</v>
      </c>
      <c r="C3950" s="22">
        <v>42</v>
      </c>
      <c r="D3950" s="86">
        <v>1887200</v>
      </c>
      <c r="E3950" s="86">
        <v>202800</v>
      </c>
      <c r="F3950" s="87">
        <v>627700</v>
      </c>
      <c r="G3950" s="87">
        <v>904000</v>
      </c>
      <c r="H3950" s="88">
        <v>152700</v>
      </c>
    </row>
    <row r="3951" spans="1:8" ht="18" customHeight="1" x14ac:dyDescent="0.15">
      <c r="A3951" s="250"/>
      <c r="B3951" s="23" t="s">
        <v>438</v>
      </c>
      <c r="C3951" s="22">
        <v>0</v>
      </c>
      <c r="D3951" s="86">
        <v>0</v>
      </c>
      <c r="E3951" s="86">
        <v>0</v>
      </c>
      <c r="F3951" s="87">
        <v>0</v>
      </c>
      <c r="G3951" s="87">
        <v>0</v>
      </c>
      <c r="H3951" s="88">
        <v>0</v>
      </c>
    </row>
    <row r="3952" spans="1:8" ht="18" customHeight="1" x14ac:dyDescent="0.15">
      <c r="A3952" s="250"/>
      <c r="B3952" s="23" t="s">
        <v>439</v>
      </c>
      <c r="C3952" s="22">
        <v>13</v>
      </c>
      <c r="D3952" s="86">
        <v>421300</v>
      </c>
      <c r="E3952" s="86">
        <v>200</v>
      </c>
      <c r="F3952" s="87">
        <v>132800</v>
      </c>
      <c r="G3952" s="87">
        <v>286200</v>
      </c>
      <c r="H3952" s="88">
        <v>2100</v>
      </c>
    </row>
    <row r="3953" spans="1:8" ht="18" customHeight="1" x14ac:dyDescent="0.15">
      <c r="A3953" s="250"/>
      <c r="B3953" s="23" t="s">
        <v>440</v>
      </c>
      <c r="C3953" s="22">
        <v>1</v>
      </c>
      <c r="D3953" s="86">
        <v>3000</v>
      </c>
      <c r="E3953" s="86">
        <v>100</v>
      </c>
      <c r="F3953" s="87">
        <v>500</v>
      </c>
      <c r="G3953" s="87">
        <v>1600</v>
      </c>
      <c r="H3953" s="88">
        <v>800</v>
      </c>
    </row>
    <row r="3954" spans="1:8" ht="18" customHeight="1" x14ac:dyDescent="0.15">
      <c r="A3954" s="251"/>
      <c r="B3954" s="23" t="s">
        <v>441</v>
      </c>
      <c r="C3954" s="22">
        <v>11</v>
      </c>
      <c r="D3954" s="86">
        <v>6916</v>
      </c>
      <c r="E3954" s="86">
        <v>466</v>
      </c>
      <c r="F3954" s="87">
        <v>0</v>
      </c>
      <c r="G3954" s="87">
        <v>5950</v>
      </c>
      <c r="H3954" s="88">
        <v>500</v>
      </c>
    </row>
    <row r="3955" spans="1:8" ht="18" customHeight="1" x14ac:dyDescent="0.15">
      <c r="A3955" s="18" t="s">
        <v>442</v>
      </c>
      <c r="B3955" s="17" t="s">
        <v>443</v>
      </c>
      <c r="C3955" s="16">
        <v>3561</v>
      </c>
      <c r="D3955" s="80">
        <v>14617615</v>
      </c>
      <c r="E3955" s="80">
        <v>955550</v>
      </c>
      <c r="F3955" s="81">
        <v>6272571</v>
      </c>
      <c r="G3955" s="81">
        <v>5202250</v>
      </c>
      <c r="H3955" s="82">
        <v>2187244</v>
      </c>
    </row>
    <row r="3956" spans="1:8" ht="13.5" x14ac:dyDescent="0.15">
      <c r="A3956" s="252" t="s">
        <v>444</v>
      </c>
      <c r="B3956" s="12" t="s">
        <v>445</v>
      </c>
      <c r="C3956" s="11">
        <v>5807</v>
      </c>
      <c r="D3956" s="89">
        <v>73360298</v>
      </c>
      <c r="E3956" s="89">
        <v>43699094</v>
      </c>
      <c r="F3956" s="90">
        <v>12814550</v>
      </c>
      <c r="G3956" s="90">
        <v>10864720</v>
      </c>
      <c r="H3956" s="91">
        <v>5981932</v>
      </c>
    </row>
    <row r="3957" spans="1:8" ht="18" customHeight="1" thickBot="1" x14ac:dyDescent="0.2">
      <c r="A3957" s="253"/>
      <c r="B3957" s="7" t="s">
        <v>446</v>
      </c>
      <c r="C3957" s="6">
        <v>4490</v>
      </c>
      <c r="D3957" s="92" t="s">
        <v>447</v>
      </c>
      <c r="E3957" s="92" t="s">
        <v>447</v>
      </c>
      <c r="F3957" s="92" t="s">
        <v>447</v>
      </c>
      <c r="G3957" s="92" t="s">
        <v>447</v>
      </c>
      <c r="H3957" s="93" t="s">
        <v>447</v>
      </c>
    </row>
    <row r="3958" spans="1:8" ht="18" customHeight="1" x14ac:dyDescent="0.15">
      <c r="A3958" s="3" t="s">
        <v>448</v>
      </c>
      <c r="B3958" s="2"/>
      <c r="C3958" s="2"/>
      <c r="D3958" s="2"/>
      <c r="E3958" s="2"/>
      <c r="F3958" s="2"/>
      <c r="G3958" s="2"/>
      <c r="H3958" s="2"/>
    </row>
    <row r="3959" spans="1:8" ht="24" x14ac:dyDescent="0.15">
      <c r="A3959" s="230" t="s">
        <v>349</v>
      </c>
      <c r="B3959" s="230"/>
      <c r="C3959" s="230"/>
      <c r="D3959" s="230"/>
      <c r="E3959" s="230"/>
      <c r="F3959" s="230"/>
      <c r="G3959" s="230"/>
      <c r="H3959" s="230"/>
    </row>
    <row r="3960" spans="1:8" ht="24" customHeight="1" x14ac:dyDescent="0.15">
      <c r="A3960" s="231"/>
      <c r="B3960" s="231"/>
      <c r="C3960" s="231"/>
      <c r="D3960" s="231"/>
      <c r="E3960" s="231"/>
      <c r="F3960" s="231"/>
      <c r="G3960" s="231"/>
      <c r="H3960" s="231"/>
    </row>
    <row r="3961" spans="1:8" ht="18" customHeight="1" thickBot="1" x14ac:dyDescent="0.2">
      <c r="A3961" s="58" t="s">
        <v>350</v>
      </c>
    </row>
    <row r="3962" spans="1:8" ht="14.25" x14ac:dyDescent="0.15">
      <c r="A3962" s="232" t="s">
        <v>351</v>
      </c>
      <c r="B3962" s="235" t="s">
        <v>352</v>
      </c>
      <c r="C3962" s="238" t="s">
        <v>353</v>
      </c>
      <c r="D3962" s="241" t="s">
        <v>354</v>
      </c>
      <c r="E3962" s="57"/>
      <c r="F3962" s="56"/>
      <c r="G3962" s="56"/>
      <c r="H3962" s="55"/>
    </row>
    <row r="3963" spans="1:8" ht="18" customHeight="1" x14ac:dyDescent="0.15">
      <c r="A3963" s="233"/>
      <c r="B3963" s="236"/>
      <c r="C3963" s="239"/>
      <c r="D3963" s="242"/>
      <c r="E3963" s="244" t="s">
        <v>355</v>
      </c>
      <c r="F3963" s="246" t="s">
        <v>356</v>
      </c>
      <c r="G3963" s="246" t="s">
        <v>357</v>
      </c>
      <c r="H3963" s="248" t="s">
        <v>358</v>
      </c>
    </row>
    <row r="3964" spans="1:8" ht="18" customHeight="1" thickBot="1" x14ac:dyDescent="0.2">
      <c r="A3964" s="234"/>
      <c r="B3964" s="237"/>
      <c r="C3964" s="240"/>
      <c r="D3964" s="243"/>
      <c r="E3964" s="245"/>
      <c r="F3964" s="247"/>
      <c r="G3964" s="247"/>
      <c r="H3964" s="249"/>
    </row>
    <row r="3965" spans="1:8" ht="15" thickTop="1" x14ac:dyDescent="0.15">
      <c r="A3965" s="54"/>
      <c r="B3965" s="53"/>
      <c r="C3965" s="52"/>
      <c r="D3965" s="51" t="s">
        <v>359</v>
      </c>
      <c r="E3965" s="50" t="s">
        <v>359</v>
      </c>
      <c r="F3965" s="49" t="s">
        <v>359</v>
      </c>
      <c r="G3965" s="49" t="s">
        <v>359</v>
      </c>
      <c r="H3965" s="48" t="s">
        <v>359</v>
      </c>
    </row>
    <row r="3966" spans="1:8" ht="18" customHeight="1" x14ac:dyDescent="0.15">
      <c r="A3966" s="250" t="s">
        <v>360</v>
      </c>
      <c r="B3966" s="61" t="s">
        <v>361</v>
      </c>
      <c r="C3966" s="62">
        <v>3649</v>
      </c>
      <c r="D3966" s="63">
        <v>496445027</v>
      </c>
      <c r="E3966" s="63">
        <v>190697448</v>
      </c>
      <c r="F3966" s="64">
        <v>149354399</v>
      </c>
      <c r="G3966" s="64">
        <v>151664095</v>
      </c>
      <c r="H3966" s="65">
        <v>4729084</v>
      </c>
    </row>
    <row r="3967" spans="1:8" ht="18" customHeight="1" x14ac:dyDescent="0.15">
      <c r="A3967" s="250"/>
      <c r="B3967" s="66" t="s">
        <v>362</v>
      </c>
      <c r="C3967" s="67">
        <v>31</v>
      </c>
      <c r="D3967" s="68">
        <v>319451</v>
      </c>
      <c r="E3967" s="68">
        <v>134411</v>
      </c>
      <c r="F3967" s="69">
        <v>144253</v>
      </c>
      <c r="G3967" s="69">
        <v>40785</v>
      </c>
      <c r="H3967" s="70">
        <v>0</v>
      </c>
    </row>
    <row r="3968" spans="1:8" ht="13.5" x14ac:dyDescent="0.15">
      <c r="A3968" s="250"/>
      <c r="B3968" s="66" t="s">
        <v>363</v>
      </c>
      <c r="C3968" s="67">
        <v>16</v>
      </c>
      <c r="D3968" s="68">
        <v>0</v>
      </c>
      <c r="E3968" s="68">
        <v>0</v>
      </c>
      <c r="F3968" s="69">
        <v>0</v>
      </c>
      <c r="G3968" s="69">
        <v>0</v>
      </c>
      <c r="H3968" s="70">
        <v>0</v>
      </c>
    </row>
    <row r="3969" spans="1:8" ht="18" customHeight="1" x14ac:dyDescent="0.15">
      <c r="A3969" s="250"/>
      <c r="B3969" s="71" t="s">
        <v>364</v>
      </c>
      <c r="C3969" s="72">
        <v>1</v>
      </c>
      <c r="D3969" s="73">
        <v>159562</v>
      </c>
      <c r="E3969" s="73">
        <v>119016</v>
      </c>
      <c r="F3969" s="74">
        <v>9652</v>
      </c>
      <c r="G3969" s="74">
        <v>29284</v>
      </c>
      <c r="H3969" s="75">
        <v>1609</v>
      </c>
    </row>
    <row r="3970" spans="1:8" ht="18" customHeight="1" x14ac:dyDescent="0.15">
      <c r="A3970" s="250"/>
      <c r="B3970" s="66" t="s">
        <v>365</v>
      </c>
      <c r="C3970" s="67">
        <v>56</v>
      </c>
      <c r="D3970" s="68">
        <v>11605438</v>
      </c>
      <c r="E3970" s="68">
        <v>3179574</v>
      </c>
      <c r="F3970" s="69">
        <v>2963246</v>
      </c>
      <c r="G3970" s="69">
        <v>5436509</v>
      </c>
      <c r="H3970" s="70">
        <v>26107</v>
      </c>
    </row>
    <row r="3971" spans="1:8" ht="13.5" x14ac:dyDescent="0.15">
      <c r="A3971" s="250"/>
      <c r="B3971" s="76" t="s">
        <v>366</v>
      </c>
      <c r="C3971" s="67">
        <v>153</v>
      </c>
      <c r="D3971" s="68">
        <v>15054144</v>
      </c>
      <c r="E3971" s="68">
        <v>3254135</v>
      </c>
      <c r="F3971" s="69">
        <v>1015108</v>
      </c>
      <c r="G3971" s="69">
        <v>10681164</v>
      </c>
      <c r="H3971" s="70">
        <v>103735</v>
      </c>
    </row>
    <row r="3972" spans="1:8" ht="18" customHeight="1" x14ac:dyDescent="0.15">
      <c r="A3972" s="251"/>
      <c r="B3972" s="77" t="s">
        <v>367</v>
      </c>
      <c r="C3972" s="72">
        <v>55</v>
      </c>
      <c r="D3972" s="73">
        <v>285934</v>
      </c>
      <c r="E3972" s="73">
        <v>269052</v>
      </c>
      <c r="F3972" s="74">
        <v>4189</v>
      </c>
      <c r="G3972" s="74">
        <v>10649</v>
      </c>
      <c r="H3972" s="75">
        <v>2043</v>
      </c>
    </row>
    <row r="3973" spans="1:8" ht="18" customHeight="1" x14ac:dyDescent="0.15">
      <c r="A3973" s="30" t="s">
        <v>368</v>
      </c>
      <c r="B3973" s="78" t="s">
        <v>369</v>
      </c>
      <c r="C3973" s="79">
        <v>35</v>
      </c>
      <c r="D3973" s="80">
        <v>158511</v>
      </c>
      <c r="E3973" s="80">
        <v>155733</v>
      </c>
      <c r="F3973" s="81">
        <v>1215</v>
      </c>
      <c r="G3973" s="81">
        <v>0</v>
      </c>
      <c r="H3973" s="82">
        <v>1562</v>
      </c>
    </row>
    <row r="3974" spans="1:8" ht="13.5" x14ac:dyDescent="0.15">
      <c r="A3974" s="252" t="s">
        <v>370</v>
      </c>
      <c r="B3974" s="17" t="s">
        <v>371</v>
      </c>
      <c r="C3974" s="16">
        <v>3030</v>
      </c>
      <c r="D3974" s="83">
        <v>59295284</v>
      </c>
      <c r="E3974" s="83">
        <v>9054520</v>
      </c>
      <c r="F3974" s="84">
        <v>7147538</v>
      </c>
      <c r="G3974" s="84">
        <v>35521719</v>
      </c>
      <c r="H3974" s="85">
        <v>7571505</v>
      </c>
    </row>
    <row r="3975" spans="1:8" ht="18" customHeight="1" x14ac:dyDescent="0.15">
      <c r="A3975" s="250"/>
      <c r="B3975" s="23" t="s">
        <v>372</v>
      </c>
      <c r="C3975" s="22">
        <v>2863</v>
      </c>
      <c r="D3975" s="86">
        <v>14065001</v>
      </c>
      <c r="E3975" s="86">
        <v>671677</v>
      </c>
      <c r="F3975" s="87">
        <v>2764619</v>
      </c>
      <c r="G3975" s="87">
        <v>8711197</v>
      </c>
      <c r="H3975" s="88">
        <v>1917506</v>
      </c>
    </row>
    <row r="3976" spans="1:8" ht="18" customHeight="1" x14ac:dyDescent="0.15">
      <c r="A3976" s="250"/>
      <c r="B3976" s="24" t="s">
        <v>373</v>
      </c>
      <c r="C3976" s="22">
        <v>614</v>
      </c>
      <c r="D3976" s="86">
        <v>34693950</v>
      </c>
      <c r="E3976" s="86">
        <v>2090692</v>
      </c>
      <c r="F3976" s="87">
        <v>5566002</v>
      </c>
      <c r="G3976" s="87">
        <v>20478996</v>
      </c>
      <c r="H3976" s="88">
        <v>6558258</v>
      </c>
    </row>
    <row r="3977" spans="1:8" ht="18" customHeight="1" x14ac:dyDescent="0.15">
      <c r="A3977" s="250"/>
      <c r="B3977" s="23" t="s">
        <v>374</v>
      </c>
      <c r="C3977" s="22">
        <v>1470</v>
      </c>
      <c r="D3977" s="86">
        <v>44105700</v>
      </c>
      <c r="E3977" s="86">
        <v>3944068</v>
      </c>
      <c r="F3977" s="87">
        <v>7130316</v>
      </c>
      <c r="G3977" s="87">
        <v>29300719</v>
      </c>
      <c r="H3977" s="88">
        <v>3730595</v>
      </c>
    </row>
    <row r="3978" spans="1:8" ht="18" customHeight="1" x14ac:dyDescent="0.15">
      <c r="A3978" s="250"/>
      <c r="B3978" s="23" t="s">
        <v>375</v>
      </c>
      <c r="C3978" s="22">
        <v>165</v>
      </c>
      <c r="D3978" s="86">
        <v>4000700</v>
      </c>
      <c r="E3978" s="86">
        <v>87803</v>
      </c>
      <c r="F3978" s="87">
        <v>135829</v>
      </c>
      <c r="G3978" s="87">
        <v>3731396</v>
      </c>
      <c r="H3978" s="88">
        <v>45670</v>
      </c>
    </row>
    <row r="3979" spans="1:8" ht="18" customHeight="1" x14ac:dyDescent="0.15">
      <c r="A3979" s="250"/>
      <c r="B3979" s="23" t="s">
        <v>376</v>
      </c>
      <c r="C3979" s="22">
        <v>103</v>
      </c>
      <c r="D3979" s="86">
        <v>1059100</v>
      </c>
      <c r="E3979" s="86">
        <v>231350</v>
      </c>
      <c r="F3979" s="87">
        <v>56100</v>
      </c>
      <c r="G3979" s="87">
        <v>501170</v>
      </c>
      <c r="H3979" s="88">
        <v>270480</v>
      </c>
    </row>
    <row r="3980" spans="1:8" ht="18" customHeight="1" x14ac:dyDescent="0.15">
      <c r="A3980" s="250"/>
      <c r="B3980" s="23" t="s">
        <v>377</v>
      </c>
      <c r="C3980" s="22">
        <v>32</v>
      </c>
      <c r="D3980" s="86">
        <v>273021</v>
      </c>
      <c r="E3980" s="86">
        <v>119392</v>
      </c>
      <c r="F3980" s="87">
        <v>16517</v>
      </c>
      <c r="G3980" s="87">
        <v>88742</v>
      </c>
      <c r="H3980" s="88">
        <v>48369</v>
      </c>
    </row>
    <row r="3981" spans="1:8" ht="18" customHeight="1" x14ac:dyDescent="0.15">
      <c r="A3981" s="250"/>
      <c r="B3981" s="23" t="s">
        <v>378</v>
      </c>
      <c r="C3981" s="22">
        <v>0</v>
      </c>
      <c r="D3981" s="86">
        <v>0</v>
      </c>
      <c r="E3981" s="86">
        <v>0</v>
      </c>
      <c r="F3981" s="87">
        <v>0</v>
      </c>
      <c r="G3981" s="87">
        <v>0</v>
      </c>
      <c r="H3981" s="88">
        <v>0</v>
      </c>
    </row>
    <row r="3982" spans="1:8" ht="18" customHeight="1" x14ac:dyDescent="0.15">
      <c r="A3982" s="250"/>
      <c r="B3982" s="23" t="s">
        <v>379</v>
      </c>
      <c r="C3982" s="22">
        <v>258</v>
      </c>
      <c r="D3982" s="86">
        <v>10909500</v>
      </c>
      <c r="E3982" s="86">
        <v>804060</v>
      </c>
      <c r="F3982" s="87">
        <v>3163010</v>
      </c>
      <c r="G3982" s="87">
        <v>3901820</v>
      </c>
      <c r="H3982" s="88">
        <v>3040610</v>
      </c>
    </row>
    <row r="3983" spans="1:8" ht="18" customHeight="1" x14ac:dyDescent="0.15">
      <c r="A3983" s="250"/>
      <c r="B3983" s="23" t="s">
        <v>380</v>
      </c>
      <c r="C3983" s="22">
        <v>2921</v>
      </c>
      <c r="D3983" s="86">
        <v>59605683</v>
      </c>
      <c r="E3983" s="86">
        <v>12557383</v>
      </c>
      <c r="F3983" s="87">
        <v>9585199</v>
      </c>
      <c r="G3983" s="87">
        <v>31287833</v>
      </c>
      <c r="H3983" s="88">
        <v>6175267</v>
      </c>
    </row>
    <row r="3984" spans="1:8" ht="13.5" x14ac:dyDescent="0.15">
      <c r="A3984" s="250"/>
      <c r="B3984" s="23" t="s">
        <v>381</v>
      </c>
      <c r="C3984" s="22">
        <v>591</v>
      </c>
      <c r="D3984" s="86">
        <v>16136525</v>
      </c>
      <c r="E3984" s="86">
        <v>1729029</v>
      </c>
      <c r="F3984" s="87">
        <v>3460291</v>
      </c>
      <c r="G3984" s="87">
        <v>9675056</v>
      </c>
      <c r="H3984" s="88">
        <v>1272147</v>
      </c>
    </row>
    <row r="3985" spans="1:8" ht="18" customHeight="1" x14ac:dyDescent="0.15">
      <c r="A3985" s="250"/>
      <c r="B3985" s="23" t="s">
        <v>382</v>
      </c>
      <c r="C3985" s="22">
        <v>42344</v>
      </c>
      <c r="D3985" s="86">
        <v>13740724</v>
      </c>
      <c r="E3985" s="86">
        <v>438498</v>
      </c>
      <c r="F3985" s="87">
        <v>6996378</v>
      </c>
      <c r="G3985" s="87">
        <v>6050647</v>
      </c>
      <c r="H3985" s="88">
        <v>255200</v>
      </c>
    </row>
    <row r="3986" spans="1:8" ht="18" customHeight="1" x14ac:dyDescent="0.15">
      <c r="A3986" s="250"/>
      <c r="B3986" s="23" t="s">
        <v>383</v>
      </c>
      <c r="C3986" s="22">
        <v>755</v>
      </c>
      <c r="D3986" s="86">
        <v>3611634</v>
      </c>
      <c r="E3986" s="86">
        <v>5761</v>
      </c>
      <c r="F3986" s="87">
        <v>2193733</v>
      </c>
      <c r="G3986" s="87">
        <v>1412140</v>
      </c>
      <c r="H3986" s="88">
        <v>0</v>
      </c>
    </row>
    <row r="3987" spans="1:8" ht="18" customHeight="1" x14ac:dyDescent="0.15">
      <c r="A3987" s="250"/>
      <c r="B3987" s="23" t="s">
        <v>384</v>
      </c>
      <c r="C3987" s="22">
        <v>46</v>
      </c>
      <c r="D3987" s="86">
        <v>559000</v>
      </c>
      <c r="E3987" s="86">
        <v>99219</v>
      </c>
      <c r="F3987" s="87">
        <v>89501</v>
      </c>
      <c r="G3987" s="87">
        <v>302680</v>
      </c>
      <c r="H3987" s="88">
        <v>67600</v>
      </c>
    </row>
    <row r="3988" spans="1:8" ht="18" customHeight="1" x14ac:dyDescent="0.15">
      <c r="A3988" s="250"/>
      <c r="B3988" s="23" t="s">
        <v>385</v>
      </c>
      <c r="C3988" s="22">
        <v>416</v>
      </c>
      <c r="D3988" s="86">
        <v>2166996</v>
      </c>
      <c r="E3988" s="86">
        <v>322849</v>
      </c>
      <c r="F3988" s="87">
        <v>981364</v>
      </c>
      <c r="G3988" s="87">
        <v>786982</v>
      </c>
      <c r="H3988" s="88">
        <v>75800</v>
      </c>
    </row>
    <row r="3989" spans="1:8" ht="18" customHeight="1" x14ac:dyDescent="0.15">
      <c r="A3989" s="250"/>
      <c r="B3989" s="23" t="s">
        <v>386</v>
      </c>
      <c r="C3989" s="22">
        <v>332</v>
      </c>
      <c r="D3989" s="86">
        <v>8719690</v>
      </c>
      <c r="E3989" s="86">
        <v>849741</v>
      </c>
      <c r="F3989" s="87">
        <v>1682158</v>
      </c>
      <c r="G3989" s="87">
        <v>5644703</v>
      </c>
      <c r="H3989" s="88">
        <v>543087</v>
      </c>
    </row>
    <row r="3990" spans="1:8" ht="13.5" x14ac:dyDescent="0.15">
      <c r="A3990" s="250"/>
      <c r="B3990" s="23" t="s">
        <v>387</v>
      </c>
      <c r="C3990" s="22">
        <v>41</v>
      </c>
      <c r="D3990" s="86">
        <v>1807200</v>
      </c>
      <c r="E3990" s="86">
        <v>200500</v>
      </c>
      <c r="F3990" s="87">
        <v>613800</v>
      </c>
      <c r="G3990" s="87">
        <v>854200</v>
      </c>
      <c r="H3990" s="88">
        <v>138700</v>
      </c>
    </row>
    <row r="3991" spans="1:8" ht="18" customHeight="1" x14ac:dyDescent="0.15">
      <c r="A3991" s="250"/>
      <c r="B3991" s="23" t="s">
        <v>388</v>
      </c>
      <c r="C3991" s="22">
        <v>0</v>
      </c>
      <c r="D3991" s="86">
        <v>0</v>
      </c>
      <c r="E3991" s="86">
        <v>0</v>
      </c>
      <c r="F3991" s="87">
        <v>0</v>
      </c>
      <c r="G3991" s="87">
        <v>0</v>
      </c>
      <c r="H3991" s="88">
        <v>0</v>
      </c>
    </row>
    <row r="3992" spans="1:8" ht="18" customHeight="1" x14ac:dyDescent="0.15">
      <c r="A3992" s="250"/>
      <c r="B3992" s="23" t="s">
        <v>389</v>
      </c>
      <c r="C3992" s="22">
        <v>13</v>
      </c>
      <c r="D3992" s="86">
        <v>421300</v>
      </c>
      <c r="E3992" s="86">
        <v>200</v>
      </c>
      <c r="F3992" s="87">
        <v>132800</v>
      </c>
      <c r="G3992" s="87">
        <v>286200</v>
      </c>
      <c r="H3992" s="88">
        <v>2100</v>
      </c>
    </row>
    <row r="3993" spans="1:8" ht="18" customHeight="1" x14ac:dyDescent="0.15">
      <c r="A3993" s="250"/>
      <c r="B3993" s="23" t="s">
        <v>390</v>
      </c>
      <c r="C3993" s="22">
        <v>1</v>
      </c>
      <c r="D3993" s="86">
        <v>3000</v>
      </c>
      <c r="E3993" s="86">
        <v>100</v>
      </c>
      <c r="F3993" s="87">
        <v>500</v>
      </c>
      <c r="G3993" s="87">
        <v>1600</v>
      </c>
      <c r="H3993" s="88">
        <v>800</v>
      </c>
    </row>
    <row r="3994" spans="1:8" ht="18" customHeight="1" x14ac:dyDescent="0.15">
      <c r="A3994" s="251"/>
      <c r="B3994" s="23" t="s">
        <v>391</v>
      </c>
      <c r="C3994" s="22">
        <v>11</v>
      </c>
      <c r="D3994" s="86">
        <v>6916</v>
      </c>
      <c r="E3994" s="86">
        <v>466</v>
      </c>
      <c r="F3994" s="87">
        <v>0</v>
      </c>
      <c r="G3994" s="87">
        <v>5950</v>
      </c>
      <c r="H3994" s="88">
        <v>500</v>
      </c>
    </row>
    <row r="3995" spans="1:8" ht="18" customHeight="1" x14ac:dyDescent="0.15">
      <c r="A3995" s="18" t="s">
        <v>392</v>
      </c>
      <c r="B3995" s="17" t="s">
        <v>393</v>
      </c>
      <c r="C3995" s="16">
        <v>3537</v>
      </c>
      <c r="D3995" s="80">
        <v>13568342</v>
      </c>
      <c r="E3995" s="80">
        <v>921050</v>
      </c>
      <c r="F3995" s="81">
        <v>6045959</v>
      </c>
      <c r="G3995" s="81">
        <v>4599243</v>
      </c>
      <c r="H3995" s="82">
        <v>2002090</v>
      </c>
    </row>
    <row r="3996" spans="1:8" ht="13.5" x14ac:dyDescent="0.15">
      <c r="A3996" s="252" t="s">
        <v>394</v>
      </c>
      <c r="B3996" s="12" t="s">
        <v>395</v>
      </c>
      <c r="C3996" s="11">
        <v>5782</v>
      </c>
      <c r="D3996" s="89">
        <v>71825080</v>
      </c>
      <c r="E3996" s="89">
        <v>42989643</v>
      </c>
      <c r="F3996" s="90">
        <v>12495918</v>
      </c>
      <c r="G3996" s="90">
        <v>10560797</v>
      </c>
      <c r="H3996" s="91">
        <v>5778720</v>
      </c>
    </row>
    <row r="3997" spans="1:8" ht="18" customHeight="1" thickBot="1" x14ac:dyDescent="0.2">
      <c r="A3997" s="253"/>
      <c r="B3997" s="7" t="s">
        <v>396</v>
      </c>
      <c r="C3997" s="6">
        <v>4419</v>
      </c>
      <c r="D3997" s="92" t="s">
        <v>397</v>
      </c>
      <c r="E3997" s="92" t="s">
        <v>397</v>
      </c>
      <c r="F3997" s="92" t="s">
        <v>397</v>
      </c>
      <c r="G3997" s="92" t="s">
        <v>397</v>
      </c>
      <c r="H3997" s="93" t="s">
        <v>397</v>
      </c>
    </row>
    <row r="3998" spans="1:8" ht="18" customHeight="1" x14ac:dyDescent="0.15">
      <c r="A3998" s="3" t="s">
        <v>398</v>
      </c>
      <c r="B3998" s="2"/>
      <c r="C3998" s="2"/>
      <c r="D3998" s="2"/>
      <c r="E3998" s="2"/>
      <c r="F3998" s="2"/>
      <c r="G3998" s="2"/>
      <c r="H3998" s="2"/>
    </row>
    <row r="3999" spans="1:8" ht="24" x14ac:dyDescent="0.15">
      <c r="A3999" s="230" t="s">
        <v>299</v>
      </c>
      <c r="B3999" s="230"/>
      <c r="C3999" s="230"/>
      <c r="D3999" s="230"/>
      <c r="E3999" s="230"/>
      <c r="F3999" s="230"/>
      <c r="G3999" s="230"/>
      <c r="H3999" s="230"/>
    </row>
    <row r="4000" spans="1:8" ht="24" customHeight="1" x14ac:dyDescent="0.15">
      <c r="A4000" s="231"/>
      <c r="B4000" s="231"/>
      <c r="C4000" s="231"/>
      <c r="D4000" s="231"/>
      <c r="E4000" s="231"/>
      <c r="F4000" s="231"/>
      <c r="G4000" s="231"/>
      <c r="H4000" s="231"/>
    </row>
    <row r="4001" spans="1:8" ht="18" customHeight="1" thickBot="1" x14ac:dyDescent="0.2">
      <c r="A4001" s="58" t="s">
        <v>300</v>
      </c>
    </row>
    <row r="4002" spans="1:8" ht="14.25" x14ac:dyDescent="0.15">
      <c r="A4002" s="232" t="s">
        <v>301</v>
      </c>
      <c r="B4002" s="235" t="s">
        <v>302</v>
      </c>
      <c r="C4002" s="238" t="s">
        <v>303</v>
      </c>
      <c r="D4002" s="241" t="s">
        <v>304</v>
      </c>
      <c r="E4002" s="57"/>
      <c r="F4002" s="56"/>
      <c r="G4002" s="56"/>
      <c r="H4002" s="55"/>
    </row>
    <row r="4003" spans="1:8" ht="18" customHeight="1" x14ac:dyDescent="0.15">
      <c r="A4003" s="233"/>
      <c r="B4003" s="236"/>
      <c r="C4003" s="239"/>
      <c r="D4003" s="242"/>
      <c r="E4003" s="244" t="s">
        <v>305</v>
      </c>
      <c r="F4003" s="246" t="s">
        <v>306</v>
      </c>
      <c r="G4003" s="246" t="s">
        <v>307</v>
      </c>
      <c r="H4003" s="248" t="s">
        <v>308</v>
      </c>
    </row>
    <row r="4004" spans="1:8" ht="18" customHeight="1" thickBot="1" x14ac:dyDescent="0.2">
      <c r="A4004" s="234"/>
      <c r="B4004" s="237"/>
      <c r="C4004" s="240"/>
      <c r="D4004" s="243"/>
      <c r="E4004" s="245"/>
      <c r="F4004" s="247"/>
      <c r="G4004" s="247"/>
      <c r="H4004" s="249"/>
    </row>
    <row r="4005" spans="1:8" ht="15" thickTop="1" x14ac:dyDescent="0.15">
      <c r="A4005" s="54"/>
      <c r="B4005" s="53"/>
      <c r="C4005" s="52"/>
      <c r="D4005" s="51" t="s">
        <v>309</v>
      </c>
      <c r="E4005" s="50" t="s">
        <v>309</v>
      </c>
      <c r="F4005" s="49" t="s">
        <v>309</v>
      </c>
      <c r="G4005" s="49" t="s">
        <v>309</v>
      </c>
      <c r="H4005" s="48" t="s">
        <v>309</v>
      </c>
    </row>
    <row r="4006" spans="1:8" ht="18" customHeight="1" x14ac:dyDescent="0.15">
      <c r="A4006" s="250" t="s">
        <v>310</v>
      </c>
      <c r="B4006" s="61" t="s">
        <v>311</v>
      </c>
      <c r="C4006" s="62">
        <v>3636</v>
      </c>
      <c r="D4006" s="63">
        <v>542265107</v>
      </c>
      <c r="E4006" s="63">
        <v>206362825</v>
      </c>
      <c r="F4006" s="64">
        <v>164652524</v>
      </c>
      <c r="G4006" s="64">
        <v>165976377</v>
      </c>
      <c r="H4006" s="65">
        <v>5273380</v>
      </c>
    </row>
    <row r="4007" spans="1:8" ht="18" customHeight="1" x14ac:dyDescent="0.15">
      <c r="A4007" s="250"/>
      <c r="B4007" s="66" t="s">
        <v>312</v>
      </c>
      <c r="C4007" s="67">
        <v>30</v>
      </c>
      <c r="D4007" s="68">
        <v>308408</v>
      </c>
      <c r="E4007" s="68">
        <v>128947</v>
      </c>
      <c r="F4007" s="69">
        <v>135612</v>
      </c>
      <c r="G4007" s="69">
        <v>43848</v>
      </c>
      <c r="H4007" s="70">
        <v>0</v>
      </c>
    </row>
    <row r="4008" spans="1:8" ht="13.5" x14ac:dyDescent="0.15">
      <c r="A4008" s="250"/>
      <c r="B4008" s="66" t="s">
        <v>313</v>
      </c>
      <c r="C4008" s="67">
        <v>12</v>
      </c>
      <c r="D4008" s="68">
        <v>0</v>
      </c>
      <c r="E4008" s="68">
        <v>0</v>
      </c>
      <c r="F4008" s="69">
        <v>0</v>
      </c>
      <c r="G4008" s="69">
        <v>0</v>
      </c>
      <c r="H4008" s="70">
        <v>0</v>
      </c>
    </row>
    <row r="4009" spans="1:8" ht="18" customHeight="1" x14ac:dyDescent="0.15">
      <c r="A4009" s="250"/>
      <c r="B4009" s="71" t="s">
        <v>314</v>
      </c>
      <c r="C4009" s="72">
        <v>1</v>
      </c>
      <c r="D4009" s="73">
        <v>160199</v>
      </c>
      <c r="E4009" s="73">
        <v>119425</v>
      </c>
      <c r="F4009" s="74">
        <v>9758</v>
      </c>
      <c r="G4009" s="74">
        <v>29401</v>
      </c>
      <c r="H4009" s="75">
        <v>1615</v>
      </c>
    </row>
    <row r="4010" spans="1:8" ht="18" customHeight="1" x14ac:dyDescent="0.15">
      <c r="A4010" s="250"/>
      <c r="B4010" s="66" t="s">
        <v>315</v>
      </c>
      <c r="C4010" s="67">
        <v>55</v>
      </c>
      <c r="D4010" s="68">
        <v>11890852</v>
      </c>
      <c r="E4010" s="68">
        <v>3255104</v>
      </c>
      <c r="F4010" s="69">
        <v>3041597</v>
      </c>
      <c r="G4010" s="69">
        <v>5544082</v>
      </c>
      <c r="H4010" s="70">
        <v>50067</v>
      </c>
    </row>
    <row r="4011" spans="1:8" ht="13.5" x14ac:dyDescent="0.15">
      <c r="A4011" s="250"/>
      <c r="B4011" s="76" t="s">
        <v>316</v>
      </c>
      <c r="C4011" s="67">
        <v>150</v>
      </c>
      <c r="D4011" s="68">
        <v>15998078</v>
      </c>
      <c r="E4011" s="68">
        <v>3347616</v>
      </c>
      <c r="F4011" s="69">
        <v>1205335</v>
      </c>
      <c r="G4011" s="69">
        <v>11327541</v>
      </c>
      <c r="H4011" s="70">
        <v>117585</v>
      </c>
    </row>
    <row r="4012" spans="1:8" ht="18" customHeight="1" x14ac:dyDescent="0.15">
      <c r="A4012" s="251"/>
      <c r="B4012" s="77" t="s">
        <v>317</v>
      </c>
      <c r="C4012" s="72">
        <v>55</v>
      </c>
      <c r="D4012" s="73">
        <v>317238</v>
      </c>
      <c r="E4012" s="73">
        <v>299424</v>
      </c>
      <c r="F4012" s="74">
        <v>4927</v>
      </c>
      <c r="G4012" s="74">
        <v>10411</v>
      </c>
      <c r="H4012" s="75">
        <v>2474</v>
      </c>
    </row>
    <row r="4013" spans="1:8" ht="18" customHeight="1" x14ac:dyDescent="0.15">
      <c r="A4013" s="30" t="s">
        <v>318</v>
      </c>
      <c r="B4013" s="78" t="s">
        <v>319</v>
      </c>
      <c r="C4013" s="79">
        <v>35</v>
      </c>
      <c r="D4013" s="80">
        <v>154302</v>
      </c>
      <c r="E4013" s="80">
        <v>150955</v>
      </c>
      <c r="F4013" s="81">
        <v>1149</v>
      </c>
      <c r="G4013" s="81">
        <v>41</v>
      </c>
      <c r="H4013" s="82">
        <v>2156</v>
      </c>
    </row>
    <row r="4014" spans="1:8" ht="13.5" x14ac:dyDescent="0.15">
      <c r="A4014" s="252" t="s">
        <v>320</v>
      </c>
      <c r="B4014" s="17" t="s">
        <v>321</v>
      </c>
      <c r="C4014" s="16">
        <v>3027</v>
      </c>
      <c r="D4014" s="83">
        <v>59304444</v>
      </c>
      <c r="E4014" s="83">
        <v>9095080</v>
      </c>
      <c r="F4014" s="84">
        <v>7031789</v>
      </c>
      <c r="G4014" s="84">
        <v>35543947</v>
      </c>
      <c r="H4014" s="85">
        <v>7633626</v>
      </c>
    </row>
    <row r="4015" spans="1:8" ht="18" customHeight="1" x14ac:dyDescent="0.15">
      <c r="A4015" s="250"/>
      <c r="B4015" s="23" t="s">
        <v>322</v>
      </c>
      <c r="C4015" s="22">
        <v>2852</v>
      </c>
      <c r="D4015" s="86">
        <v>14030397</v>
      </c>
      <c r="E4015" s="86">
        <v>662605</v>
      </c>
      <c r="F4015" s="87">
        <v>2778420</v>
      </c>
      <c r="G4015" s="87">
        <v>8678074</v>
      </c>
      <c r="H4015" s="88">
        <v>1911296</v>
      </c>
    </row>
    <row r="4016" spans="1:8" ht="18" customHeight="1" x14ac:dyDescent="0.15">
      <c r="A4016" s="250"/>
      <c r="B4016" s="24" t="s">
        <v>323</v>
      </c>
      <c r="C4016" s="22">
        <v>612</v>
      </c>
      <c r="D4016" s="86">
        <v>34683950</v>
      </c>
      <c r="E4016" s="86">
        <v>2156718</v>
      </c>
      <c r="F4016" s="87">
        <v>5623306</v>
      </c>
      <c r="G4016" s="87">
        <v>20694738</v>
      </c>
      <c r="H4016" s="88">
        <v>6209186</v>
      </c>
    </row>
    <row r="4017" spans="1:8" ht="18" customHeight="1" x14ac:dyDescent="0.15">
      <c r="A4017" s="250"/>
      <c r="B4017" s="23" t="s">
        <v>324</v>
      </c>
      <c r="C4017" s="22">
        <v>1469</v>
      </c>
      <c r="D4017" s="86">
        <v>44095200</v>
      </c>
      <c r="E4017" s="86">
        <v>3972299</v>
      </c>
      <c r="F4017" s="87">
        <v>7071606</v>
      </c>
      <c r="G4017" s="87">
        <v>29282968</v>
      </c>
      <c r="H4017" s="88">
        <v>3768325</v>
      </c>
    </row>
    <row r="4018" spans="1:8" ht="18" customHeight="1" x14ac:dyDescent="0.15">
      <c r="A4018" s="250"/>
      <c r="B4018" s="23" t="s">
        <v>325</v>
      </c>
      <c r="C4018" s="22">
        <v>161</v>
      </c>
      <c r="D4018" s="86">
        <v>3989700</v>
      </c>
      <c r="E4018" s="86">
        <v>84842</v>
      </c>
      <c r="F4018" s="87">
        <v>138994</v>
      </c>
      <c r="G4018" s="87">
        <v>3716112</v>
      </c>
      <c r="H4018" s="88">
        <v>49750</v>
      </c>
    </row>
    <row r="4019" spans="1:8" ht="18" customHeight="1" x14ac:dyDescent="0.15">
      <c r="A4019" s="250"/>
      <c r="B4019" s="23" t="s">
        <v>326</v>
      </c>
      <c r="C4019" s="22">
        <v>103</v>
      </c>
      <c r="D4019" s="86">
        <v>1059100</v>
      </c>
      <c r="E4019" s="86">
        <v>231750</v>
      </c>
      <c r="F4019" s="87">
        <v>56000</v>
      </c>
      <c r="G4019" s="87">
        <v>500870</v>
      </c>
      <c r="H4019" s="88">
        <v>270480</v>
      </c>
    </row>
    <row r="4020" spans="1:8" ht="18" customHeight="1" x14ac:dyDescent="0.15">
      <c r="A4020" s="250"/>
      <c r="B4020" s="23" t="s">
        <v>327</v>
      </c>
      <c r="C4020" s="22">
        <v>32</v>
      </c>
      <c r="D4020" s="86">
        <v>273021</v>
      </c>
      <c r="E4020" s="86">
        <v>119392</v>
      </c>
      <c r="F4020" s="87">
        <v>16517</v>
      </c>
      <c r="G4020" s="87">
        <v>88742</v>
      </c>
      <c r="H4020" s="88">
        <v>48369</v>
      </c>
    </row>
    <row r="4021" spans="1:8" ht="18" customHeight="1" x14ac:dyDescent="0.15">
      <c r="A4021" s="250"/>
      <c r="B4021" s="23" t="s">
        <v>328</v>
      </c>
      <c r="C4021" s="22">
        <v>0</v>
      </c>
      <c r="D4021" s="86">
        <v>0</v>
      </c>
      <c r="E4021" s="86">
        <v>0</v>
      </c>
      <c r="F4021" s="87">
        <v>0</v>
      </c>
      <c r="G4021" s="87">
        <v>0</v>
      </c>
      <c r="H4021" s="88">
        <v>0</v>
      </c>
    </row>
    <row r="4022" spans="1:8" ht="18" customHeight="1" x14ac:dyDescent="0.15">
      <c r="A4022" s="250"/>
      <c r="B4022" s="23" t="s">
        <v>329</v>
      </c>
      <c r="C4022" s="22">
        <v>259</v>
      </c>
      <c r="D4022" s="86">
        <v>10964340</v>
      </c>
      <c r="E4022" s="86">
        <v>816010</v>
      </c>
      <c r="F4022" s="87">
        <v>3116080</v>
      </c>
      <c r="G4022" s="87">
        <v>3956940</v>
      </c>
      <c r="H4022" s="88">
        <v>3075310</v>
      </c>
    </row>
    <row r="4023" spans="1:8" ht="18" customHeight="1" x14ac:dyDescent="0.15">
      <c r="A4023" s="250"/>
      <c r="B4023" s="23" t="s">
        <v>330</v>
      </c>
      <c r="C4023" s="22">
        <v>2915</v>
      </c>
      <c r="D4023" s="86">
        <v>59807325</v>
      </c>
      <c r="E4023" s="86">
        <v>12439015</v>
      </c>
      <c r="F4023" s="87">
        <v>9680909</v>
      </c>
      <c r="G4023" s="87">
        <v>31508489</v>
      </c>
      <c r="H4023" s="88">
        <v>6178911</v>
      </c>
    </row>
    <row r="4024" spans="1:8" ht="13.5" x14ac:dyDescent="0.15">
      <c r="A4024" s="250"/>
      <c r="B4024" s="23" t="s">
        <v>331</v>
      </c>
      <c r="C4024" s="22">
        <v>589</v>
      </c>
      <c r="D4024" s="86">
        <v>16361025</v>
      </c>
      <c r="E4024" s="86">
        <v>1720925</v>
      </c>
      <c r="F4024" s="87">
        <v>3522379</v>
      </c>
      <c r="G4024" s="87">
        <v>9853775</v>
      </c>
      <c r="H4024" s="88">
        <v>1263945</v>
      </c>
    </row>
    <row r="4025" spans="1:8" ht="18" customHeight="1" x14ac:dyDescent="0.15">
      <c r="A4025" s="250"/>
      <c r="B4025" s="23" t="s">
        <v>332</v>
      </c>
      <c r="C4025" s="22">
        <v>42206</v>
      </c>
      <c r="D4025" s="86">
        <v>13717306</v>
      </c>
      <c r="E4025" s="86">
        <v>431898</v>
      </c>
      <c r="F4025" s="87">
        <v>7046047</v>
      </c>
      <c r="G4025" s="87">
        <v>5989660</v>
      </c>
      <c r="H4025" s="88">
        <v>249700</v>
      </c>
    </row>
    <row r="4026" spans="1:8" ht="18" customHeight="1" x14ac:dyDescent="0.15">
      <c r="A4026" s="250"/>
      <c r="B4026" s="23" t="s">
        <v>333</v>
      </c>
      <c r="C4026" s="22">
        <v>754</v>
      </c>
      <c r="D4026" s="86">
        <v>3610634</v>
      </c>
      <c r="E4026" s="86">
        <v>5761</v>
      </c>
      <c r="F4026" s="87">
        <v>2193733</v>
      </c>
      <c r="G4026" s="87">
        <v>1411140</v>
      </c>
      <c r="H4026" s="88">
        <v>0</v>
      </c>
    </row>
    <row r="4027" spans="1:8" ht="18" customHeight="1" x14ac:dyDescent="0.15">
      <c r="A4027" s="250"/>
      <c r="B4027" s="23" t="s">
        <v>334</v>
      </c>
      <c r="C4027" s="22">
        <v>43</v>
      </c>
      <c r="D4027" s="86">
        <v>550500</v>
      </c>
      <c r="E4027" s="86">
        <v>95379</v>
      </c>
      <c r="F4027" s="87">
        <v>88501</v>
      </c>
      <c r="G4027" s="87">
        <v>302120</v>
      </c>
      <c r="H4027" s="88">
        <v>64500</v>
      </c>
    </row>
    <row r="4028" spans="1:8" ht="18" customHeight="1" x14ac:dyDescent="0.15">
      <c r="A4028" s="250"/>
      <c r="B4028" s="23" t="s">
        <v>335</v>
      </c>
      <c r="C4028" s="22">
        <v>430</v>
      </c>
      <c r="D4028" s="86">
        <v>2237252</v>
      </c>
      <c r="E4028" s="86">
        <v>339034</v>
      </c>
      <c r="F4028" s="87">
        <v>1025635</v>
      </c>
      <c r="G4028" s="87">
        <v>794482</v>
      </c>
      <c r="H4028" s="88">
        <v>78100</v>
      </c>
    </row>
    <row r="4029" spans="1:8" ht="18" customHeight="1" x14ac:dyDescent="0.15">
      <c r="A4029" s="250"/>
      <c r="B4029" s="23" t="s">
        <v>336</v>
      </c>
      <c r="C4029" s="22">
        <v>331</v>
      </c>
      <c r="D4029" s="86">
        <v>8688190</v>
      </c>
      <c r="E4029" s="86">
        <v>822991</v>
      </c>
      <c r="F4029" s="87">
        <v>1631508</v>
      </c>
      <c r="G4029" s="87">
        <v>5680003</v>
      </c>
      <c r="H4029" s="88">
        <v>553687</v>
      </c>
    </row>
    <row r="4030" spans="1:8" ht="13.5" x14ac:dyDescent="0.15">
      <c r="A4030" s="250"/>
      <c r="B4030" s="23" t="s">
        <v>337</v>
      </c>
      <c r="C4030" s="22">
        <v>37</v>
      </c>
      <c r="D4030" s="86">
        <v>1707200</v>
      </c>
      <c r="E4030" s="86">
        <v>167000</v>
      </c>
      <c r="F4030" s="87">
        <v>572500</v>
      </c>
      <c r="G4030" s="87">
        <v>831700</v>
      </c>
      <c r="H4030" s="88">
        <v>136000</v>
      </c>
    </row>
    <row r="4031" spans="1:8" ht="18" customHeight="1" x14ac:dyDescent="0.15">
      <c r="A4031" s="250"/>
      <c r="B4031" s="23" t="s">
        <v>338</v>
      </c>
      <c r="C4031" s="22">
        <v>0</v>
      </c>
      <c r="D4031" s="86">
        <v>0</v>
      </c>
      <c r="E4031" s="86">
        <v>0</v>
      </c>
      <c r="F4031" s="87">
        <v>0</v>
      </c>
      <c r="G4031" s="87">
        <v>0</v>
      </c>
      <c r="H4031" s="88">
        <v>0</v>
      </c>
    </row>
    <row r="4032" spans="1:8" ht="18" customHeight="1" x14ac:dyDescent="0.15">
      <c r="A4032" s="250"/>
      <c r="B4032" s="23" t="s">
        <v>339</v>
      </c>
      <c r="C4032" s="22">
        <v>13</v>
      </c>
      <c r="D4032" s="86">
        <v>421300</v>
      </c>
      <c r="E4032" s="86">
        <v>200</v>
      </c>
      <c r="F4032" s="87">
        <v>132800</v>
      </c>
      <c r="G4032" s="87">
        <v>286200</v>
      </c>
      <c r="H4032" s="88">
        <v>2100</v>
      </c>
    </row>
    <row r="4033" spans="1:8" ht="18" customHeight="1" x14ac:dyDescent="0.15">
      <c r="A4033" s="250"/>
      <c r="B4033" s="23" t="s">
        <v>340</v>
      </c>
      <c r="C4033" s="22">
        <v>1</v>
      </c>
      <c r="D4033" s="86">
        <v>3000</v>
      </c>
      <c r="E4033" s="86">
        <v>100</v>
      </c>
      <c r="F4033" s="87">
        <v>500</v>
      </c>
      <c r="G4033" s="87">
        <v>1600</v>
      </c>
      <c r="H4033" s="88">
        <v>800</v>
      </c>
    </row>
    <row r="4034" spans="1:8" ht="18" customHeight="1" x14ac:dyDescent="0.15">
      <c r="A4034" s="251"/>
      <c r="B4034" s="23" t="s">
        <v>341</v>
      </c>
      <c r="C4034" s="22">
        <v>11</v>
      </c>
      <c r="D4034" s="86">
        <v>6916</v>
      </c>
      <c r="E4034" s="86">
        <v>466</v>
      </c>
      <c r="F4034" s="87">
        <v>0</v>
      </c>
      <c r="G4034" s="87">
        <v>5950</v>
      </c>
      <c r="H4034" s="88">
        <v>500</v>
      </c>
    </row>
    <row r="4035" spans="1:8" ht="18" customHeight="1" x14ac:dyDescent="0.15">
      <c r="A4035" s="18" t="s">
        <v>342</v>
      </c>
      <c r="B4035" s="17" t="s">
        <v>343</v>
      </c>
      <c r="C4035" s="16">
        <v>3526</v>
      </c>
      <c r="D4035" s="80">
        <v>14206517</v>
      </c>
      <c r="E4035" s="80">
        <v>999250</v>
      </c>
      <c r="F4035" s="81">
        <v>5919090</v>
      </c>
      <c r="G4035" s="81">
        <v>5042607</v>
      </c>
      <c r="H4035" s="82">
        <v>2245570</v>
      </c>
    </row>
    <row r="4036" spans="1:8" ht="13.5" x14ac:dyDescent="0.15">
      <c r="A4036" s="252" t="s">
        <v>344</v>
      </c>
      <c r="B4036" s="12" t="s">
        <v>345</v>
      </c>
      <c r="C4036" s="11">
        <v>5773</v>
      </c>
      <c r="D4036" s="89">
        <v>75439816</v>
      </c>
      <c r="E4036" s="89">
        <v>45230080</v>
      </c>
      <c r="F4036" s="90">
        <v>13128255</v>
      </c>
      <c r="G4036" s="90">
        <v>11038555</v>
      </c>
      <c r="H4036" s="91">
        <v>6042925</v>
      </c>
    </row>
    <row r="4037" spans="1:8" ht="18" customHeight="1" thickBot="1" x14ac:dyDescent="0.2">
      <c r="A4037" s="253"/>
      <c r="B4037" s="7" t="s">
        <v>346</v>
      </c>
      <c r="C4037" s="6">
        <v>4318</v>
      </c>
      <c r="D4037" s="92" t="s">
        <v>347</v>
      </c>
      <c r="E4037" s="92" t="s">
        <v>347</v>
      </c>
      <c r="F4037" s="92" t="s">
        <v>347</v>
      </c>
      <c r="G4037" s="92" t="s">
        <v>347</v>
      </c>
      <c r="H4037" s="93" t="s">
        <v>347</v>
      </c>
    </row>
    <row r="4038" spans="1:8" ht="18" customHeight="1" x14ac:dyDescent="0.15">
      <c r="A4038" s="3" t="s">
        <v>348</v>
      </c>
      <c r="B4038" s="2"/>
      <c r="C4038" s="2"/>
      <c r="D4038" s="2"/>
      <c r="E4038" s="2"/>
      <c r="F4038" s="2"/>
      <c r="G4038" s="2"/>
      <c r="H4038" s="2"/>
    </row>
    <row r="4039" spans="1:8" ht="24" x14ac:dyDescent="0.15">
      <c r="A4039" s="230" t="s">
        <v>249</v>
      </c>
      <c r="B4039" s="230"/>
      <c r="C4039" s="230"/>
      <c r="D4039" s="230"/>
      <c r="E4039" s="230"/>
      <c r="F4039" s="230"/>
      <c r="G4039" s="230"/>
      <c r="H4039" s="230"/>
    </row>
    <row r="4040" spans="1:8" ht="18" customHeight="1" x14ac:dyDescent="0.15">
      <c r="A4040" s="231"/>
      <c r="B4040" s="231"/>
      <c r="C4040" s="231"/>
      <c r="D4040" s="231"/>
      <c r="E4040" s="231"/>
      <c r="F4040" s="231"/>
      <c r="G4040" s="231"/>
      <c r="H4040" s="231"/>
    </row>
    <row r="4041" spans="1:8" ht="18" customHeight="1" thickBot="1" x14ac:dyDescent="0.2">
      <c r="A4041" s="58" t="s">
        <v>250</v>
      </c>
    </row>
    <row r="4042" spans="1:8" ht="14.25" x14ac:dyDescent="0.15">
      <c r="A4042" s="232" t="s">
        <v>251</v>
      </c>
      <c r="B4042" s="235" t="s">
        <v>252</v>
      </c>
      <c r="C4042" s="238" t="s">
        <v>253</v>
      </c>
      <c r="D4042" s="241" t="s">
        <v>254</v>
      </c>
      <c r="E4042" s="57"/>
      <c r="F4042" s="56"/>
      <c r="G4042" s="56"/>
      <c r="H4042" s="55"/>
    </row>
    <row r="4043" spans="1:8" ht="18" customHeight="1" x14ac:dyDescent="0.15">
      <c r="A4043" s="233"/>
      <c r="B4043" s="236"/>
      <c r="C4043" s="239"/>
      <c r="D4043" s="242"/>
      <c r="E4043" s="244" t="s">
        <v>255</v>
      </c>
      <c r="F4043" s="246" t="s">
        <v>256</v>
      </c>
      <c r="G4043" s="246" t="s">
        <v>257</v>
      </c>
      <c r="H4043" s="248" t="s">
        <v>258</v>
      </c>
    </row>
    <row r="4044" spans="1:8" ht="18" customHeight="1" thickBot="1" x14ac:dyDescent="0.2">
      <c r="A4044" s="234"/>
      <c r="B4044" s="237"/>
      <c r="C4044" s="240"/>
      <c r="D4044" s="243"/>
      <c r="E4044" s="245"/>
      <c r="F4044" s="247"/>
      <c r="G4044" s="247"/>
      <c r="H4044" s="249"/>
    </row>
    <row r="4045" spans="1:8" ht="15" thickTop="1" x14ac:dyDescent="0.15">
      <c r="A4045" s="54"/>
      <c r="B4045" s="53"/>
      <c r="C4045" s="52"/>
      <c r="D4045" s="51" t="s">
        <v>259</v>
      </c>
      <c r="E4045" s="50" t="s">
        <v>259</v>
      </c>
      <c r="F4045" s="49" t="s">
        <v>259</v>
      </c>
      <c r="G4045" s="49" t="s">
        <v>259</v>
      </c>
      <c r="H4045" s="48" t="s">
        <v>259</v>
      </c>
    </row>
    <row r="4046" spans="1:8" ht="18" customHeight="1" x14ac:dyDescent="0.15">
      <c r="A4046" s="250" t="s">
        <v>260</v>
      </c>
      <c r="B4046" s="61" t="s">
        <v>261</v>
      </c>
      <c r="C4046" s="62">
        <v>3639</v>
      </c>
      <c r="D4046" s="63">
        <v>527584441</v>
      </c>
      <c r="E4046" s="63">
        <v>200953753</v>
      </c>
      <c r="F4046" s="64">
        <v>159682130</v>
      </c>
      <c r="G4046" s="64">
        <v>161599032</v>
      </c>
      <c r="H4046" s="65">
        <v>5349523</v>
      </c>
    </row>
    <row r="4047" spans="1:8" ht="18" customHeight="1" x14ac:dyDescent="0.15">
      <c r="A4047" s="250"/>
      <c r="B4047" s="66" t="s">
        <v>262</v>
      </c>
      <c r="C4047" s="67">
        <v>30</v>
      </c>
      <c r="D4047" s="68">
        <v>300366</v>
      </c>
      <c r="E4047" s="68">
        <v>130854</v>
      </c>
      <c r="F4047" s="69">
        <v>128660</v>
      </c>
      <c r="G4047" s="69">
        <v>40852</v>
      </c>
      <c r="H4047" s="70">
        <v>0</v>
      </c>
    </row>
    <row r="4048" spans="1:8" ht="13.5" x14ac:dyDescent="0.15">
      <c r="A4048" s="250"/>
      <c r="B4048" s="66" t="s">
        <v>263</v>
      </c>
      <c r="C4048" s="67">
        <v>12</v>
      </c>
      <c r="D4048" s="68">
        <v>0</v>
      </c>
      <c r="E4048" s="68">
        <v>0</v>
      </c>
      <c r="F4048" s="69">
        <v>0</v>
      </c>
      <c r="G4048" s="69">
        <v>0</v>
      </c>
      <c r="H4048" s="70">
        <v>0</v>
      </c>
    </row>
    <row r="4049" spans="1:8" ht="18" customHeight="1" x14ac:dyDescent="0.15">
      <c r="A4049" s="250"/>
      <c r="B4049" s="71" t="s">
        <v>264</v>
      </c>
      <c r="C4049" s="72">
        <v>1</v>
      </c>
      <c r="D4049" s="73">
        <v>160766</v>
      </c>
      <c r="E4049" s="73">
        <v>119851</v>
      </c>
      <c r="F4049" s="74">
        <v>9789</v>
      </c>
      <c r="G4049" s="74">
        <v>29505</v>
      </c>
      <c r="H4049" s="75">
        <v>1620</v>
      </c>
    </row>
    <row r="4050" spans="1:8" ht="18" customHeight="1" x14ac:dyDescent="0.15">
      <c r="A4050" s="250"/>
      <c r="B4050" s="66" t="s">
        <v>265</v>
      </c>
      <c r="C4050" s="67">
        <v>55</v>
      </c>
      <c r="D4050" s="68">
        <v>12013080</v>
      </c>
      <c r="E4050" s="68">
        <v>3257610</v>
      </c>
      <c r="F4050" s="69">
        <v>3108346</v>
      </c>
      <c r="G4050" s="69">
        <v>5611203</v>
      </c>
      <c r="H4050" s="70">
        <v>35920</v>
      </c>
    </row>
    <row r="4051" spans="1:8" ht="13.5" x14ac:dyDescent="0.15">
      <c r="A4051" s="250"/>
      <c r="B4051" s="76" t="s">
        <v>266</v>
      </c>
      <c r="C4051" s="67">
        <v>146</v>
      </c>
      <c r="D4051" s="68">
        <v>15301997</v>
      </c>
      <c r="E4051" s="68">
        <v>3303567</v>
      </c>
      <c r="F4051" s="69">
        <v>1188757</v>
      </c>
      <c r="G4051" s="69">
        <v>10687126</v>
      </c>
      <c r="H4051" s="70">
        <v>122546</v>
      </c>
    </row>
    <row r="4052" spans="1:8" ht="18" customHeight="1" x14ac:dyDescent="0.15">
      <c r="A4052" s="251"/>
      <c r="B4052" s="77" t="s">
        <v>267</v>
      </c>
      <c r="C4052" s="72">
        <v>55</v>
      </c>
      <c r="D4052" s="73">
        <v>296131</v>
      </c>
      <c r="E4052" s="73">
        <v>273609</v>
      </c>
      <c r="F4052" s="74">
        <v>8684</v>
      </c>
      <c r="G4052" s="74">
        <v>10488</v>
      </c>
      <c r="H4052" s="75">
        <v>3348</v>
      </c>
    </row>
    <row r="4053" spans="1:8" ht="18" customHeight="1" x14ac:dyDescent="0.15">
      <c r="A4053" s="30" t="s">
        <v>268</v>
      </c>
      <c r="B4053" s="78" t="s">
        <v>269</v>
      </c>
      <c r="C4053" s="79">
        <v>35</v>
      </c>
      <c r="D4053" s="80">
        <v>203023</v>
      </c>
      <c r="E4053" s="80">
        <v>198765</v>
      </c>
      <c r="F4053" s="81">
        <v>1142</v>
      </c>
      <c r="G4053" s="81">
        <v>118</v>
      </c>
      <c r="H4053" s="82">
        <v>2997</v>
      </c>
    </row>
    <row r="4054" spans="1:8" ht="13.5" x14ac:dyDescent="0.15">
      <c r="A4054" s="252" t="s">
        <v>270</v>
      </c>
      <c r="B4054" s="17" t="s">
        <v>271</v>
      </c>
      <c r="C4054" s="16">
        <v>3013</v>
      </c>
      <c r="D4054" s="83">
        <v>59076324</v>
      </c>
      <c r="E4054" s="83">
        <v>9133004</v>
      </c>
      <c r="F4054" s="84">
        <v>6874420</v>
      </c>
      <c r="G4054" s="84">
        <v>35447985</v>
      </c>
      <c r="H4054" s="85">
        <v>7620913</v>
      </c>
    </row>
    <row r="4055" spans="1:8" ht="18" customHeight="1" x14ac:dyDescent="0.15">
      <c r="A4055" s="250"/>
      <c r="B4055" s="23" t="s">
        <v>272</v>
      </c>
      <c r="C4055" s="22">
        <v>2865</v>
      </c>
      <c r="D4055" s="86">
        <v>13969515</v>
      </c>
      <c r="E4055" s="86">
        <v>603901</v>
      </c>
      <c r="F4055" s="87">
        <v>2796521</v>
      </c>
      <c r="G4055" s="87">
        <v>8669536</v>
      </c>
      <c r="H4055" s="88">
        <v>1899555</v>
      </c>
    </row>
    <row r="4056" spans="1:8" ht="18" customHeight="1" x14ac:dyDescent="0.15">
      <c r="A4056" s="250"/>
      <c r="B4056" s="24" t="s">
        <v>273</v>
      </c>
      <c r="C4056" s="22">
        <v>613</v>
      </c>
      <c r="D4056" s="86">
        <v>34838950</v>
      </c>
      <c r="E4056" s="86">
        <v>2097579</v>
      </c>
      <c r="F4056" s="87">
        <v>5452232</v>
      </c>
      <c r="G4056" s="87">
        <v>21141904</v>
      </c>
      <c r="H4056" s="88">
        <v>6147233</v>
      </c>
    </row>
    <row r="4057" spans="1:8" ht="18" customHeight="1" x14ac:dyDescent="0.15">
      <c r="A4057" s="250"/>
      <c r="B4057" s="23" t="s">
        <v>274</v>
      </c>
      <c r="C4057" s="22">
        <v>1464</v>
      </c>
      <c r="D4057" s="86">
        <v>43793900</v>
      </c>
      <c r="E4057" s="86">
        <v>3986681</v>
      </c>
      <c r="F4057" s="87">
        <v>6924961</v>
      </c>
      <c r="G4057" s="87">
        <v>29134932</v>
      </c>
      <c r="H4057" s="88">
        <v>3747325</v>
      </c>
    </row>
    <row r="4058" spans="1:8" ht="18" customHeight="1" x14ac:dyDescent="0.15">
      <c r="A4058" s="250"/>
      <c r="B4058" s="23" t="s">
        <v>275</v>
      </c>
      <c r="C4058" s="22">
        <v>157</v>
      </c>
      <c r="D4058" s="86">
        <v>3943200</v>
      </c>
      <c r="E4058" s="86">
        <v>85365</v>
      </c>
      <c r="F4058" s="87">
        <v>138994</v>
      </c>
      <c r="G4058" s="87">
        <v>3669216</v>
      </c>
      <c r="H4058" s="88">
        <v>49623</v>
      </c>
    </row>
    <row r="4059" spans="1:8" ht="18" customHeight="1" x14ac:dyDescent="0.15">
      <c r="A4059" s="250"/>
      <c r="B4059" s="23" t="s">
        <v>276</v>
      </c>
      <c r="C4059" s="22">
        <v>103</v>
      </c>
      <c r="D4059" s="86">
        <v>1059100</v>
      </c>
      <c r="E4059" s="86">
        <v>233200</v>
      </c>
      <c r="F4059" s="87">
        <v>56300</v>
      </c>
      <c r="G4059" s="87">
        <v>499120</v>
      </c>
      <c r="H4059" s="88">
        <v>270480</v>
      </c>
    </row>
    <row r="4060" spans="1:8" ht="18" customHeight="1" x14ac:dyDescent="0.15">
      <c r="A4060" s="250"/>
      <c r="B4060" s="23" t="s">
        <v>277</v>
      </c>
      <c r="C4060" s="22">
        <v>32</v>
      </c>
      <c r="D4060" s="86">
        <v>273021</v>
      </c>
      <c r="E4060" s="86">
        <v>119542</v>
      </c>
      <c r="F4060" s="87">
        <v>16517</v>
      </c>
      <c r="G4060" s="87">
        <v>88742</v>
      </c>
      <c r="H4060" s="88">
        <v>48219</v>
      </c>
    </row>
    <row r="4061" spans="1:8" ht="18" customHeight="1" x14ac:dyDescent="0.15">
      <c r="A4061" s="250"/>
      <c r="B4061" s="23" t="s">
        <v>278</v>
      </c>
      <c r="C4061" s="22">
        <v>0</v>
      </c>
      <c r="D4061" s="86">
        <v>0</v>
      </c>
      <c r="E4061" s="86">
        <v>0</v>
      </c>
      <c r="F4061" s="87">
        <v>0</v>
      </c>
      <c r="G4061" s="87">
        <v>0</v>
      </c>
      <c r="H4061" s="88">
        <v>0</v>
      </c>
    </row>
    <row r="4062" spans="1:8" ht="18" customHeight="1" x14ac:dyDescent="0.15">
      <c r="A4062" s="250"/>
      <c r="B4062" s="23" t="s">
        <v>279</v>
      </c>
      <c r="C4062" s="22">
        <v>262</v>
      </c>
      <c r="D4062" s="86">
        <v>11066640</v>
      </c>
      <c r="E4062" s="86">
        <v>837950</v>
      </c>
      <c r="F4062" s="87">
        <v>3131850</v>
      </c>
      <c r="G4062" s="87">
        <v>3974830</v>
      </c>
      <c r="H4062" s="88">
        <v>3122010</v>
      </c>
    </row>
    <row r="4063" spans="1:8" ht="18" customHeight="1" x14ac:dyDescent="0.15">
      <c r="A4063" s="250"/>
      <c r="B4063" s="23" t="s">
        <v>280</v>
      </c>
      <c r="C4063" s="22">
        <v>2910</v>
      </c>
      <c r="D4063" s="86">
        <v>59824982</v>
      </c>
      <c r="E4063" s="86">
        <v>12510187</v>
      </c>
      <c r="F4063" s="87">
        <v>9657356</v>
      </c>
      <c r="G4063" s="87">
        <v>31519911</v>
      </c>
      <c r="H4063" s="88">
        <v>6137526</v>
      </c>
    </row>
    <row r="4064" spans="1:8" ht="13.5" x14ac:dyDescent="0.15">
      <c r="A4064" s="250"/>
      <c r="B4064" s="23" t="s">
        <v>281</v>
      </c>
      <c r="C4064" s="22">
        <v>590</v>
      </c>
      <c r="D4064" s="86">
        <v>16378700</v>
      </c>
      <c r="E4064" s="86">
        <v>1720770</v>
      </c>
      <c r="F4064" s="87">
        <v>3561643</v>
      </c>
      <c r="G4064" s="87">
        <v>9859913</v>
      </c>
      <c r="H4064" s="88">
        <v>1236373</v>
      </c>
    </row>
    <row r="4065" spans="1:8" ht="18" customHeight="1" x14ac:dyDescent="0.15">
      <c r="A4065" s="250"/>
      <c r="B4065" s="23" t="s">
        <v>282</v>
      </c>
      <c r="C4065" s="22">
        <v>42163</v>
      </c>
      <c r="D4065" s="86">
        <v>13714465</v>
      </c>
      <c r="E4065" s="86">
        <v>432598</v>
      </c>
      <c r="F4065" s="87">
        <v>7058002</v>
      </c>
      <c r="G4065" s="87">
        <v>5971264</v>
      </c>
      <c r="H4065" s="88">
        <v>252600</v>
      </c>
    </row>
    <row r="4066" spans="1:8" ht="18" customHeight="1" x14ac:dyDescent="0.15">
      <c r="A4066" s="250"/>
      <c r="B4066" s="23" t="s">
        <v>283</v>
      </c>
      <c r="C4066" s="22">
        <v>754</v>
      </c>
      <c r="D4066" s="86">
        <v>3610634</v>
      </c>
      <c r="E4066" s="86">
        <v>5761</v>
      </c>
      <c r="F4066" s="87">
        <v>2193733</v>
      </c>
      <c r="G4066" s="87">
        <v>1411140</v>
      </c>
      <c r="H4066" s="88">
        <v>0</v>
      </c>
    </row>
    <row r="4067" spans="1:8" ht="18" customHeight="1" x14ac:dyDescent="0.15">
      <c r="A4067" s="250"/>
      <c r="B4067" s="23" t="s">
        <v>284</v>
      </c>
      <c r="C4067" s="22">
        <v>43</v>
      </c>
      <c r="D4067" s="86">
        <v>550500</v>
      </c>
      <c r="E4067" s="86">
        <v>95710</v>
      </c>
      <c r="F4067" s="87">
        <v>88201</v>
      </c>
      <c r="G4067" s="87">
        <v>302189</v>
      </c>
      <c r="H4067" s="88">
        <v>64400</v>
      </c>
    </row>
    <row r="4068" spans="1:8" ht="18" customHeight="1" x14ac:dyDescent="0.15">
      <c r="A4068" s="250"/>
      <c r="B4068" s="23" t="s">
        <v>285</v>
      </c>
      <c r="C4068" s="22">
        <v>432</v>
      </c>
      <c r="D4068" s="86">
        <v>2241669</v>
      </c>
      <c r="E4068" s="86">
        <v>340433</v>
      </c>
      <c r="F4068" s="87">
        <v>1020053</v>
      </c>
      <c r="G4068" s="87">
        <v>800782</v>
      </c>
      <c r="H4068" s="88">
        <v>80400</v>
      </c>
    </row>
    <row r="4069" spans="1:8" ht="18" customHeight="1" x14ac:dyDescent="0.15">
      <c r="A4069" s="250"/>
      <c r="B4069" s="23" t="s">
        <v>286</v>
      </c>
      <c r="C4069" s="22">
        <v>337</v>
      </c>
      <c r="D4069" s="86">
        <v>8936990</v>
      </c>
      <c r="E4069" s="86">
        <v>842891</v>
      </c>
      <c r="F4069" s="87">
        <v>1679208</v>
      </c>
      <c r="G4069" s="87">
        <v>5839703</v>
      </c>
      <c r="H4069" s="88">
        <v>575187</v>
      </c>
    </row>
    <row r="4070" spans="1:8" ht="13.5" x14ac:dyDescent="0.15">
      <c r="A4070" s="250"/>
      <c r="B4070" s="23" t="s">
        <v>287</v>
      </c>
      <c r="C4070" s="22">
        <v>37</v>
      </c>
      <c r="D4070" s="86">
        <v>1707200</v>
      </c>
      <c r="E4070" s="86">
        <v>167000</v>
      </c>
      <c r="F4070" s="87">
        <v>575500</v>
      </c>
      <c r="G4070" s="87">
        <v>828700</v>
      </c>
      <c r="H4070" s="88">
        <v>136000</v>
      </c>
    </row>
    <row r="4071" spans="1:8" ht="18" customHeight="1" x14ac:dyDescent="0.15">
      <c r="A4071" s="250"/>
      <c r="B4071" s="23" t="s">
        <v>288</v>
      </c>
      <c r="C4071" s="22">
        <v>0</v>
      </c>
      <c r="D4071" s="86">
        <v>0</v>
      </c>
      <c r="E4071" s="86">
        <v>0</v>
      </c>
      <c r="F4071" s="87">
        <v>0</v>
      </c>
      <c r="G4071" s="87">
        <v>0</v>
      </c>
      <c r="H4071" s="88">
        <v>0</v>
      </c>
    </row>
    <row r="4072" spans="1:8" ht="18" customHeight="1" x14ac:dyDescent="0.15">
      <c r="A4072" s="250"/>
      <c r="B4072" s="23" t="s">
        <v>289</v>
      </c>
      <c r="C4072" s="22">
        <v>13</v>
      </c>
      <c r="D4072" s="86">
        <v>421300</v>
      </c>
      <c r="E4072" s="86">
        <v>200</v>
      </c>
      <c r="F4072" s="87">
        <v>132800</v>
      </c>
      <c r="G4072" s="87">
        <v>286200</v>
      </c>
      <c r="H4072" s="88">
        <v>2100</v>
      </c>
    </row>
    <row r="4073" spans="1:8" ht="18" customHeight="1" x14ac:dyDescent="0.15">
      <c r="A4073" s="250"/>
      <c r="B4073" s="23" t="s">
        <v>290</v>
      </c>
      <c r="C4073" s="22">
        <v>1</v>
      </c>
      <c r="D4073" s="86">
        <v>3000</v>
      </c>
      <c r="E4073" s="86">
        <v>500</v>
      </c>
      <c r="F4073" s="87">
        <v>500</v>
      </c>
      <c r="G4073" s="87">
        <v>1200</v>
      </c>
      <c r="H4073" s="88">
        <v>800</v>
      </c>
    </row>
    <row r="4074" spans="1:8" ht="18" customHeight="1" x14ac:dyDescent="0.15">
      <c r="A4074" s="251"/>
      <c r="B4074" s="23" t="s">
        <v>291</v>
      </c>
      <c r="C4074" s="22">
        <v>11</v>
      </c>
      <c r="D4074" s="86">
        <v>6916</v>
      </c>
      <c r="E4074" s="86">
        <v>466</v>
      </c>
      <c r="F4074" s="87">
        <v>0</v>
      </c>
      <c r="G4074" s="87">
        <v>5950</v>
      </c>
      <c r="H4074" s="88">
        <v>500</v>
      </c>
    </row>
    <row r="4075" spans="1:8" ht="18" customHeight="1" x14ac:dyDescent="0.15">
      <c r="A4075" s="18" t="s">
        <v>292</v>
      </c>
      <c r="B4075" s="17" t="s">
        <v>293</v>
      </c>
      <c r="C4075" s="16">
        <v>3683</v>
      </c>
      <c r="D4075" s="80">
        <v>14198600</v>
      </c>
      <c r="E4075" s="80">
        <v>1065850</v>
      </c>
      <c r="F4075" s="81">
        <v>5538290</v>
      </c>
      <c r="G4075" s="81">
        <v>5153100</v>
      </c>
      <c r="H4075" s="82">
        <v>2441360</v>
      </c>
    </row>
    <row r="4076" spans="1:8" ht="13.5" x14ac:dyDescent="0.15">
      <c r="A4076" s="252" t="s">
        <v>294</v>
      </c>
      <c r="B4076" s="12" t="s">
        <v>295</v>
      </c>
      <c r="C4076" s="11">
        <v>5784</v>
      </c>
      <c r="D4076" s="89">
        <v>76056587</v>
      </c>
      <c r="E4076" s="89">
        <v>45877786</v>
      </c>
      <c r="F4076" s="90">
        <v>13135788</v>
      </c>
      <c r="G4076" s="90">
        <v>11036792</v>
      </c>
      <c r="H4076" s="91">
        <v>6006219</v>
      </c>
    </row>
    <row r="4077" spans="1:8" ht="18" customHeight="1" thickBot="1" x14ac:dyDescent="0.2">
      <c r="A4077" s="253"/>
      <c r="B4077" s="7" t="s">
        <v>296</v>
      </c>
      <c r="C4077" s="6">
        <v>4218</v>
      </c>
      <c r="D4077" s="92" t="s">
        <v>297</v>
      </c>
      <c r="E4077" s="92" t="s">
        <v>297</v>
      </c>
      <c r="F4077" s="92" t="s">
        <v>297</v>
      </c>
      <c r="G4077" s="92" t="s">
        <v>297</v>
      </c>
      <c r="H4077" s="93" t="s">
        <v>297</v>
      </c>
    </row>
    <row r="4078" spans="1:8" ht="18" customHeight="1" x14ac:dyDescent="0.15">
      <c r="A4078" s="3" t="s">
        <v>298</v>
      </c>
      <c r="B4078" s="2"/>
      <c r="C4078" s="2"/>
      <c r="D4078" s="2"/>
      <c r="E4078" s="2"/>
      <c r="F4078" s="2"/>
      <c r="G4078" s="2"/>
      <c r="H4078" s="2"/>
    </row>
    <row r="4079" spans="1:8" ht="24" x14ac:dyDescent="0.15">
      <c r="A4079" s="230" t="s">
        <v>199</v>
      </c>
      <c r="B4079" s="230"/>
      <c r="C4079" s="230"/>
      <c r="D4079" s="230"/>
      <c r="E4079" s="230"/>
      <c r="F4079" s="230"/>
      <c r="G4079" s="230"/>
      <c r="H4079" s="230"/>
    </row>
    <row r="4080" spans="1:8" ht="18" customHeight="1" x14ac:dyDescent="0.15">
      <c r="A4080" s="231"/>
      <c r="B4080" s="231"/>
      <c r="C4080" s="231"/>
      <c r="D4080" s="231"/>
      <c r="E4080" s="231"/>
      <c r="F4080" s="231"/>
      <c r="G4080" s="231"/>
      <c r="H4080" s="231"/>
    </row>
    <row r="4081" spans="1:8" ht="18" customHeight="1" thickBot="1" x14ac:dyDescent="0.2">
      <c r="A4081" s="58" t="s">
        <v>200</v>
      </c>
    </row>
    <row r="4082" spans="1:8" ht="14.25" x14ac:dyDescent="0.15">
      <c r="A4082" s="232" t="s">
        <v>201</v>
      </c>
      <c r="B4082" s="235" t="s">
        <v>202</v>
      </c>
      <c r="C4082" s="238" t="s">
        <v>203</v>
      </c>
      <c r="D4082" s="241" t="s">
        <v>204</v>
      </c>
      <c r="E4082" s="57"/>
      <c r="F4082" s="56"/>
      <c r="G4082" s="56"/>
      <c r="H4082" s="55"/>
    </row>
    <row r="4083" spans="1:8" ht="18" customHeight="1" x14ac:dyDescent="0.15">
      <c r="A4083" s="233"/>
      <c r="B4083" s="236"/>
      <c r="C4083" s="239"/>
      <c r="D4083" s="242"/>
      <c r="E4083" s="244" t="s">
        <v>205</v>
      </c>
      <c r="F4083" s="246" t="s">
        <v>206</v>
      </c>
      <c r="G4083" s="246" t="s">
        <v>207</v>
      </c>
      <c r="H4083" s="248" t="s">
        <v>208</v>
      </c>
    </row>
    <row r="4084" spans="1:8" ht="18" customHeight="1" thickBot="1" x14ac:dyDescent="0.2">
      <c r="A4084" s="234"/>
      <c r="B4084" s="237"/>
      <c r="C4084" s="240"/>
      <c r="D4084" s="243"/>
      <c r="E4084" s="245"/>
      <c r="F4084" s="247"/>
      <c r="G4084" s="247"/>
      <c r="H4084" s="249"/>
    </row>
    <row r="4085" spans="1:8" ht="15" thickTop="1" x14ac:dyDescent="0.15">
      <c r="A4085" s="54"/>
      <c r="B4085" s="53"/>
      <c r="C4085" s="52"/>
      <c r="D4085" s="51" t="s">
        <v>209</v>
      </c>
      <c r="E4085" s="50" t="s">
        <v>209</v>
      </c>
      <c r="F4085" s="49" t="s">
        <v>209</v>
      </c>
      <c r="G4085" s="49" t="s">
        <v>209</v>
      </c>
      <c r="H4085" s="48" t="s">
        <v>209</v>
      </c>
    </row>
    <row r="4086" spans="1:8" ht="18" customHeight="1" x14ac:dyDescent="0.15">
      <c r="A4086" s="250" t="s">
        <v>210</v>
      </c>
      <c r="B4086" s="61" t="s">
        <v>211</v>
      </c>
      <c r="C4086" s="62">
        <v>3640</v>
      </c>
      <c r="D4086" s="63">
        <v>528684965</v>
      </c>
      <c r="E4086" s="63">
        <v>205443076</v>
      </c>
      <c r="F4086" s="64">
        <v>153980491</v>
      </c>
      <c r="G4086" s="64">
        <v>163306041</v>
      </c>
      <c r="H4086" s="65">
        <v>5955356</v>
      </c>
    </row>
    <row r="4087" spans="1:8" ht="18" customHeight="1" x14ac:dyDescent="0.15">
      <c r="A4087" s="250"/>
      <c r="B4087" s="66" t="s">
        <v>212</v>
      </c>
      <c r="C4087" s="67">
        <v>30</v>
      </c>
      <c r="D4087" s="68">
        <v>296476</v>
      </c>
      <c r="E4087" s="68">
        <v>139880</v>
      </c>
      <c r="F4087" s="69">
        <v>113645</v>
      </c>
      <c r="G4087" s="69">
        <v>42950</v>
      </c>
      <c r="H4087" s="70">
        <v>0</v>
      </c>
    </row>
    <row r="4088" spans="1:8" ht="13.5" x14ac:dyDescent="0.15">
      <c r="A4088" s="250"/>
      <c r="B4088" s="66" t="s">
        <v>213</v>
      </c>
      <c r="C4088" s="67">
        <v>10</v>
      </c>
      <c r="D4088" s="68">
        <v>0</v>
      </c>
      <c r="E4088" s="68">
        <v>0</v>
      </c>
      <c r="F4088" s="69">
        <v>0</v>
      </c>
      <c r="G4088" s="69">
        <v>0</v>
      </c>
      <c r="H4088" s="70">
        <v>0</v>
      </c>
    </row>
    <row r="4089" spans="1:8" ht="18" customHeight="1" x14ac:dyDescent="0.15">
      <c r="A4089" s="250"/>
      <c r="B4089" s="71" t="s">
        <v>214</v>
      </c>
      <c r="C4089" s="72">
        <v>1</v>
      </c>
      <c r="D4089" s="73">
        <v>158145</v>
      </c>
      <c r="E4089" s="73">
        <v>118050</v>
      </c>
      <c r="F4089" s="74">
        <v>9523</v>
      </c>
      <c r="G4089" s="74">
        <v>28978</v>
      </c>
      <c r="H4089" s="75">
        <v>1593</v>
      </c>
    </row>
    <row r="4090" spans="1:8" ht="18" customHeight="1" x14ac:dyDescent="0.15">
      <c r="A4090" s="250"/>
      <c r="B4090" s="66" t="s">
        <v>215</v>
      </c>
      <c r="C4090" s="67">
        <v>54</v>
      </c>
      <c r="D4090" s="68">
        <v>11783056</v>
      </c>
      <c r="E4090" s="68">
        <v>3231868</v>
      </c>
      <c r="F4090" s="69">
        <v>2976958</v>
      </c>
      <c r="G4090" s="69">
        <v>5548296</v>
      </c>
      <c r="H4090" s="70">
        <v>25933</v>
      </c>
    </row>
    <row r="4091" spans="1:8" ht="13.5" x14ac:dyDescent="0.15">
      <c r="A4091" s="250"/>
      <c r="B4091" s="76" t="s">
        <v>216</v>
      </c>
      <c r="C4091" s="67">
        <v>146</v>
      </c>
      <c r="D4091" s="68">
        <v>15836859</v>
      </c>
      <c r="E4091" s="68">
        <v>3455367</v>
      </c>
      <c r="F4091" s="69">
        <v>1673912</v>
      </c>
      <c r="G4091" s="69">
        <v>10576337</v>
      </c>
      <c r="H4091" s="70">
        <v>131242</v>
      </c>
    </row>
    <row r="4092" spans="1:8" ht="18" customHeight="1" x14ac:dyDescent="0.15">
      <c r="A4092" s="251"/>
      <c r="B4092" s="77" t="s">
        <v>217</v>
      </c>
      <c r="C4092" s="72">
        <v>55</v>
      </c>
      <c r="D4092" s="73">
        <v>281058</v>
      </c>
      <c r="E4092" s="73">
        <v>259051</v>
      </c>
      <c r="F4092" s="74">
        <v>9066</v>
      </c>
      <c r="G4092" s="74">
        <v>10155</v>
      </c>
      <c r="H4092" s="75">
        <v>2785</v>
      </c>
    </row>
    <row r="4093" spans="1:8" ht="18" customHeight="1" x14ac:dyDescent="0.15">
      <c r="A4093" s="30" t="s">
        <v>218</v>
      </c>
      <c r="B4093" s="78" t="s">
        <v>219</v>
      </c>
      <c r="C4093" s="79">
        <v>36</v>
      </c>
      <c r="D4093" s="80">
        <v>171211</v>
      </c>
      <c r="E4093" s="80">
        <v>168461</v>
      </c>
      <c r="F4093" s="81">
        <v>1374</v>
      </c>
      <c r="G4093" s="81">
        <v>277</v>
      </c>
      <c r="H4093" s="82">
        <v>1097</v>
      </c>
    </row>
    <row r="4094" spans="1:8" ht="13.5" x14ac:dyDescent="0.15">
      <c r="A4094" s="252" t="s">
        <v>220</v>
      </c>
      <c r="B4094" s="17" t="s">
        <v>221</v>
      </c>
      <c r="C4094" s="16">
        <v>3003</v>
      </c>
      <c r="D4094" s="83">
        <v>58871364</v>
      </c>
      <c r="E4094" s="83">
        <v>9138824</v>
      </c>
      <c r="F4094" s="84">
        <v>6816351</v>
      </c>
      <c r="G4094" s="84">
        <v>35326168</v>
      </c>
      <c r="H4094" s="85">
        <v>7590019</v>
      </c>
    </row>
    <row r="4095" spans="1:8" ht="18" customHeight="1" x14ac:dyDescent="0.15">
      <c r="A4095" s="250"/>
      <c r="B4095" s="23" t="s">
        <v>222</v>
      </c>
      <c r="C4095" s="22">
        <v>2904</v>
      </c>
      <c r="D4095" s="86">
        <v>14050487</v>
      </c>
      <c r="E4095" s="86">
        <v>608705</v>
      </c>
      <c r="F4095" s="87">
        <v>2866726</v>
      </c>
      <c r="G4095" s="87">
        <v>8661238</v>
      </c>
      <c r="H4095" s="88">
        <v>1913817</v>
      </c>
    </row>
    <row r="4096" spans="1:8" ht="18" customHeight="1" x14ac:dyDescent="0.15">
      <c r="A4096" s="250"/>
      <c r="B4096" s="24" t="s">
        <v>223</v>
      </c>
      <c r="C4096" s="22">
        <v>611</v>
      </c>
      <c r="D4096" s="86">
        <v>34898950</v>
      </c>
      <c r="E4096" s="86">
        <v>2116209</v>
      </c>
      <c r="F4096" s="87">
        <v>5237268</v>
      </c>
      <c r="G4096" s="87">
        <v>21344345</v>
      </c>
      <c r="H4096" s="88">
        <v>6201126</v>
      </c>
    </row>
    <row r="4097" spans="1:8" ht="18" customHeight="1" x14ac:dyDescent="0.15">
      <c r="A4097" s="250"/>
      <c r="B4097" s="23" t="s">
        <v>224</v>
      </c>
      <c r="C4097" s="22">
        <v>1439</v>
      </c>
      <c r="D4097" s="86">
        <v>43263200</v>
      </c>
      <c r="E4097" s="86">
        <v>3949415</v>
      </c>
      <c r="F4097" s="87">
        <v>6752870</v>
      </c>
      <c r="G4097" s="87">
        <v>28860189</v>
      </c>
      <c r="H4097" s="88">
        <v>3700725</v>
      </c>
    </row>
    <row r="4098" spans="1:8" ht="18" customHeight="1" x14ac:dyDescent="0.15">
      <c r="A4098" s="250"/>
      <c r="B4098" s="23" t="s">
        <v>225</v>
      </c>
      <c r="C4098" s="22">
        <v>149</v>
      </c>
      <c r="D4098" s="86">
        <v>3871700</v>
      </c>
      <c r="E4098" s="86">
        <v>60243</v>
      </c>
      <c r="F4098" s="87">
        <v>138994</v>
      </c>
      <c r="G4098" s="87">
        <v>3623374</v>
      </c>
      <c r="H4098" s="88">
        <v>49087</v>
      </c>
    </row>
    <row r="4099" spans="1:8" ht="18" customHeight="1" x14ac:dyDescent="0.15">
      <c r="A4099" s="250"/>
      <c r="B4099" s="23" t="s">
        <v>226</v>
      </c>
      <c r="C4099" s="22">
        <v>102</v>
      </c>
      <c r="D4099" s="86">
        <v>1042100</v>
      </c>
      <c r="E4099" s="86">
        <v>235900</v>
      </c>
      <c r="F4099" s="87">
        <v>55500</v>
      </c>
      <c r="G4099" s="87">
        <v>492320</v>
      </c>
      <c r="H4099" s="88">
        <v>258380</v>
      </c>
    </row>
    <row r="4100" spans="1:8" ht="18" customHeight="1" x14ac:dyDescent="0.15">
      <c r="A4100" s="250"/>
      <c r="B4100" s="23" t="s">
        <v>227</v>
      </c>
      <c r="C4100" s="22">
        <v>32</v>
      </c>
      <c r="D4100" s="86">
        <v>273021</v>
      </c>
      <c r="E4100" s="86">
        <v>120742</v>
      </c>
      <c r="F4100" s="87">
        <v>16517</v>
      </c>
      <c r="G4100" s="87">
        <v>88442</v>
      </c>
      <c r="H4100" s="88">
        <v>47319</v>
      </c>
    </row>
    <row r="4101" spans="1:8" ht="18" customHeight="1" x14ac:dyDescent="0.15">
      <c r="A4101" s="250"/>
      <c r="B4101" s="23" t="s">
        <v>228</v>
      </c>
      <c r="C4101" s="22">
        <v>0</v>
      </c>
      <c r="D4101" s="86">
        <v>0</v>
      </c>
      <c r="E4101" s="86">
        <v>0</v>
      </c>
      <c r="F4101" s="87">
        <v>0</v>
      </c>
      <c r="G4101" s="87">
        <v>0</v>
      </c>
      <c r="H4101" s="88">
        <v>0</v>
      </c>
    </row>
    <row r="4102" spans="1:8" ht="18" customHeight="1" x14ac:dyDescent="0.15">
      <c r="A4102" s="250"/>
      <c r="B4102" s="23" t="s">
        <v>229</v>
      </c>
      <c r="C4102" s="22">
        <v>263</v>
      </c>
      <c r="D4102" s="86">
        <v>11142630</v>
      </c>
      <c r="E4102" s="86">
        <v>825450</v>
      </c>
      <c r="F4102" s="87">
        <v>3325920</v>
      </c>
      <c r="G4102" s="87">
        <v>3815060</v>
      </c>
      <c r="H4102" s="88">
        <v>3176200</v>
      </c>
    </row>
    <row r="4103" spans="1:8" ht="18" customHeight="1" x14ac:dyDescent="0.15">
      <c r="A4103" s="250"/>
      <c r="B4103" s="23" t="s">
        <v>230</v>
      </c>
      <c r="C4103" s="22">
        <v>2845</v>
      </c>
      <c r="D4103" s="86">
        <v>57740442</v>
      </c>
      <c r="E4103" s="86">
        <v>12493685</v>
      </c>
      <c r="F4103" s="87">
        <v>7502335</v>
      </c>
      <c r="G4103" s="87">
        <v>31612662</v>
      </c>
      <c r="H4103" s="88">
        <v>6131759</v>
      </c>
    </row>
    <row r="4104" spans="1:8" ht="13.5" x14ac:dyDescent="0.15">
      <c r="A4104" s="250"/>
      <c r="B4104" s="23" t="s">
        <v>231</v>
      </c>
      <c r="C4104" s="22">
        <v>537</v>
      </c>
      <c r="D4104" s="86">
        <v>14199800</v>
      </c>
      <c r="E4104" s="86">
        <v>1708796</v>
      </c>
      <c r="F4104" s="87">
        <v>1386055</v>
      </c>
      <c r="G4104" s="87">
        <v>9897435</v>
      </c>
      <c r="H4104" s="88">
        <v>1207513</v>
      </c>
    </row>
    <row r="4105" spans="1:8" ht="18" customHeight="1" x14ac:dyDescent="0.15">
      <c r="A4105" s="250"/>
      <c r="B4105" s="23" t="s">
        <v>232</v>
      </c>
      <c r="C4105" s="22">
        <v>41568</v>
      </c>
      <c r="D4105" s="86">
        <v>11427937</v>
      </c>
      <c r="E4105" s="86">
        <v>398998</v>
      </c>
      <c r="F4105" s="87">
        <v>5974173</v>
      </c>
      <c r="G4105" s="87">
        <v>4814564</v>
      </c>
      <c r="H4105" s="88">
        <v>240200</v>
      </c>
    </row>
    <row r="4106" spans="1:8" ht="18" customHeight="1" x14ac:dyDescent="0.15">
      <c r="A4106" s="250"/>
      <c r="B4106" s="23" t="s">
        <v>233</v>
      </c>
      <c r="C4106" s="22">
        <v>115</v>
      </c>
      <c r="D4106" s="86">
        <v>1391985</v>
      </c>
      <c r="E4106" s="86">
        <v>5761</v>
      </c>
      <c r="F4106" s="87">
        <v>1094918</v>
      </c>
      <c r="G4106" s="87">
        <v>291306</v>
      </c>
      <c r="H4106" s="88">
        <v>0</v>
      </c>
    </row>
    <row r="4107" spans="1:8" ht="18" customHeight="1" x14ac:dyDescent="0.15">
      <c r="A4107" s="250"/>
      <c r="B4107" s="23" t="s">
        <v>234</v>
      </c>
      <c r="C4107" s="22">
        <v>43</v>
      </c>
      <c r="D4107" s="86">
        <v>550500</v>
      </c>
      <c r="E4107" s="86">
        <v>95960</v>
      </c>
      <c r="F4107" s="87">
        <v>88201</v>
      </c>
      <c r="G4107" s="87">
        <v>302139</v>
      </c>
      <c r="H4107" s="88">
        <v>64200</v>
      </c>
    </row>
    <row r="4108" spans="1:8" ht="18" customHeight="1" x14ac:dyDescent="0.15">
      <c r="A4108" s="250"/>
      <c r="B4108" s="23" t="s">
        <v>235</v>
      </c>
      <c r="C4108" s="22">
        <v>432</v>
      </c>
      <c r="D4108" s="86">
        <v>2246562</v>
      </c>
      <c r="E4108" s="86">
        <v>342203</v>
      </c>
      <c r="F4108" s="87">
        <v>1017125</v>
      </c>
      <c r="G4108" s="87">
        <v>806833</v>
      </c>
      <c r="H4108" s="88">
        <v>80400</v>
      </c>
    </row>
    <row r="4109" spans="1:8" ht="18" customHeight="1" x14ac:dyDescent="0.15">
      <c r="A4109" s="250"/>
      <c r="B4109" s="23" t="s">
        <v>236</v>
      </c>
      <c r="C4109" s="22">
        <v>338</v>
      </c>
      <c r="D4109" s="86">
        <v>8945390</v>
      </c>
      <c r="E4109" s="86">
        <v>845691</v>
      </c>
      <c r="F4109" s="87">
        <v>1685508</v>
      </c>
      <c r="G4109" s="87">
        <v>5841803</v>
      </c>
      <c r="H4109" s="88">
        <v>572387</v>
      </c>
    </row>
    <row r="4110" spans="1:8" ht="29.25" customHeight="1" x14ac:dyDescent="0.15">
      <c r="A4110" s="250"/>
      <c r="B4110" s="23" t="s">
        <v>237</v>
      </c>
      <c r="C4110" s="22">
        <v>37</v>
      </c>
      <c r="D4110" s="86">
        <v>1707200</v>
      </c>
      <c r="E4110" s="86">
        <v>167000</v>
      </c>
      <c r="F4110" s="87">
        <v>575400</v>
      </c>
      <c r="G4110" s="87">
        <v>828800</v>
      </c>
      <c r="H4110" s="88">
        <v>136000</v>
      </c>
    </row>
    <row r="4111" spans="1:8" ht="18" customHeight="1" x14ac:dyDescent="0.15">
      <c r="A4111" s="250"/>
      <c r="B4111" s="23" t="s">
        <v>238</v>
      </c>
      <c r="C4111" s="22">
        <v>0</v>
      </c>
      <c r="D4111" s="86">
        <v>0</v>
      </c>
      <c r="E4111" s="86">
        <v>0</v>
      </c>
      <c r="F4111" s="87">
        <v>0</v>
      </c>
      <c r="G4111" s="87">
        <v>0</v>
      </c>
      <c r="H4111" s="88">
        <v>0</v>
      </c>
    </row>
    <row r="4112" spans="1:8" ht="18" customHeight="1" x14ac:dyDescent="0.15">
      <c r="A4112" s="250"/>
      <c r="B4112" s="23" t="s">
        <v>239</v>
      </c>
      <c r="C4112" s="22">
        <v>13</v>
      </c>
      <c r="D4112" s="86">
        <v>421300</v>
      </c>
      <c r="E4112" s="86">
        <v>200</v>
      </c>
      <c r="F4112" s="87">
        <v>132800</v>
      </c>
      <c r="G4112" s="87">
        <v>286200</v>
      </c>
      <c r="H4112" s="88">
        <v>2100</v>
      </c>
    </row>
    <row r="4113" spans="1:8" ht="18" customHeight="1" x14ac:dyDescent="0.15">
      <c r="A4113" s="250"/>
      <c r="B4113" s="23" t="s">
        <v>240</v>
      </c>
      <c r="C4113" s="22">
        <v>1</v>
      </c>
      <c r="D4113" s="86">
        <v>3000</v>
      </c>
      <c r="E4113" s="86">
        <v>500</v>
      </c>
      <c r="F4113" s="87">
        <v>500</v>
      </c>
      <c r="G4113" s="87">
        <v>1200</v>
      </c>
      <c r="H4113" s="88">
        <v>800</v>
      </c>
    </row>
    <row r="4114" spans="1:8" ht="18" customHeight="1" x14ac:dyDescent="0.15">
      <c r="A4114" s="251"/>
      <c r="B4114" s="23" t="s">
        <v>241</v>
      </c>
      <c r="C4114" s="22">
        <v>11</v>
      </c>
      <c r="D4114" s="86">
        <v>6916</v>
      </c>
      <c r="E4114" s="86">
        <v>466</v>
      </c>
      <c r="F4114" s="87">
        <v>0</v>
      </c>
      <c r="G4114" s="87">
        <v>5950</v>
      </c>
      <c r="H4114" s="88">
        <v>500</v>
      </c>
    </row>
    <row r="4115" spans="1:8" ht="18" customHeight="1" x14ac:dyDescent="0.15">
      <c r="A4115" s="18" t="s">
        <v>242</v>
      </c>
      <c r="B4115" s="17" t="s">
        <v>243</v>
      </c>
      <c r="C4115" s="16">
        <v>3617</v>
      </c>
      <c r="D4115" s="80">
        <v>12949541</v>
      </c>
      <c r="E4115" s="80">
        <v>1047920</v>
      </c>
      <c r="F4115" s="81">
        <v>5060233</v>
      </c>
      <c r="G4115" s="81">
        <v>5357668</v>
      </c>
      <c r="H4115" s="82">
        <v>1483720</v>
      </c>
    </row>
    <row r="4116" spans="1:8" ht="13.5" x14ac:dyDescent="0.15">
      <c r="A4116" s="252" t="s">
        <v>244</v>
      </c>
      <c r="B4116" s="12" t="s">
        <v>245</v>
      </c>
      <c r="C4116" s="11">
        <v>5763</v>
      </c>
      <c r="D4116" s="89">
        <v>76790661</v>
      </c>
      <c r="E4116" s="89">
        <v>46263689</v>
      </c>
      <c r="F4116" s="90">
        <v>13342797</v>
      </c>
      <c r="G4116" s="90">
        <v>11117611</v>
      </c>
      <c r="H4116" s="91">
        <v>6066562</v>
      </c>
    </row>
    <row r="4117" spans="1:8" ht="18" customHeight="1" thickBot="1" x14ac:dyDescent="0.2">
      <c r="A4117" s="253"/>
      <c r="B4117" s="7" t="s">
        <v>246</v>
      </c>
      <c r="C4117" s="6">
        <v>4115</v>
      </c>
      <c r="D4117" s="92" t="s">
        <v>247</v>
      </c>
      <c r="E4117" s="92" t="s">
        <v>54</v>
      </c>
      <c r="F4117" s="92" t="s">
        <v>54</v>
      </c>
      <c r="G4117" s="92" t="s">
        <v>54</v>
      </c>
      <c r="H4117" s="93" t="s">
        <v>54</v>
      </c>
    </row>
    <row r="4118" spans="1:8" ht="18" customHeight="1" x14ac:dyDescent="0.15">
      <c r="A4118" s="3" t="s">
        <v>248</v>
      </c>
      <c r="B4118" s="2"/>
      <c r="C4118" s="2"/>
      <c r="D4118" s="2"/>
      <c r="E4118" s="2"/>
      <c r="F4118" s="2"/>
      <c r="G4118" s="2"/>
      <c r="H4118" s="2"/>
    </row>
    <row r="4119" spans="1:8" ht="24" x14ac:dyDescent="0.15">
      <c r="A4119" s="230" t="s">
        <v>150</v>
      </c>
      <c r="B4119" s="230"/>
      <c r="C4119" s="230"/>
      <c r="D4119" s="230"/>
      <c r="E4119" s="230"/>
      <c r="F4119" s="230"/>
      <c r="G4119" s="230"/>
      <c r="H4119" s="230"/>
    </row>
    <row r="4120" spans="1:8" ht="18" customHeight="1" x14ac:dyDescent="0.15">
      <c r="A4120" s="231"/>
      <c r="B4120" s="231"/>
      <c r="C4120" s="231"/>
      <c r="D4120" s="231"/>
      <c r="E4120" s="231"/>
      <c r="F4120" s="231"/>
      <c r="G4120" s="231"/>
      <c r="H4120" s="231"/>
    </row>
    <row r="4121" spans="1:8" ht="18" customHeight="1" thickBot="1" x14ac:dyDescent="0.2">
      <c r="A4121" s="58" t="s">
        <v>151</v>
      </c>
    </row>
    <row r="4122" spans="1:8" ht="14.25" x14ac:dyDescent="0.15">
      <c r="A4122" s="232" t="s">
        <v>152</v>
      </c>
      <c r="B4122" s="235" t="s">
        <v>153</v>
      </c>
      <c r="C4122" s="238" t="s">
        <v>154</v>
      </c>
      <c r="D4122" s="241" t="s">
        <v>155</v>
      </c>
      <c r="E4122" s="57"/>
      <c r="F4122" s="56"/>
      <c r="G4122" s="56"/>
      <c r="H4122" s="55"/>
    </row>
    <row r="4123" spans="1:8" ht="18" customHeight="1" x14ac:dyDescent="0.15">
      <c r="A4123" s="233"/>
      <c r="B4123" s="236"/>
      <c r="C4123" s="239"/>
      <c r="D4123" s="242"/>
      <c r="E4123" s="244" t="s">
        <v>156</v>
      </c>
      <c r="F4123" s="246" t="s">
        <v>157</v>
      </c>
      <c r="G4123" s="246" t="s">
        <v>158</v>
      </c>
      <c r="H4123" s="248" t="s">
        <v>159</v>
      </c>
    </row>
    <row r="4124" spans="1:8" ht="18" customHeight="1" thickBot="1" x14ac:dyDescent="0.2">
      <c r="A4124" s="234"/>
      <c r="B4124" s="237"/>
      <c r="C4124" s="240"/>
      <c r="D4124" s="243"/>
      <c r="E4124" s="245"/>
      <c r="F4124" s="247"/>
      <c r="G4124" s="247"/>
      <c r="H4124" s="249"/>
    </row>
    <row r="4125" spans="1:8" ht="15" thickTop="1" x14ac:dyDescent="0.15">
      <c r="A4125" s="54"/>
      <c r="B4125" s="53"/>
      <c r="C4125" s="52"/>
      <c r="D4125" s="51" t="s">
        <v>160</v>
      </c>
      <c r="E4125" s="50" t="s">
        <v>160</v>
      </c>
      <c r="F4125" s="49" t="s">
        <v>160</v>
      </c>
      <c r="G4125" s="49" t="s">
        <v>160</v>
      </c>
      <c r="H4125" s="48" t="s">
        <v>160</v>
      </c>
    </row>
    <row r="4126" spans="1:8" ht="18" customHeight="1" x14ac:dyDescent="0.15">
      <c r="A4126" s="250" t="s">
        <v>161</v>
      </c>
      <c r="B4126" s="61" t="s">
        <v>162</v>
      </c>
      <c r="C4126" s="62">
        <v>3624</v>
      </c>
      <c r="D4126" s="63">
        <v>510260742</v>
      </c>
      <c r="E4126" s="63">
        <v>194643720</v>
      </c>
      <c r="F4126" s="64">
        <v>154356207</v>
      </c>
      <c r="G4126" s="64">
        <v>155850657</v>
      </c>
      <c r="H4126" s="65">
        <v>5410156</v>
      </c>
    </row>
    <row r="4127" spans="1:8" ht="18" customHeight="1" x14ac:dyDescent="0.15">
      <c r="A4127" s="250"/>
      <c r="B4127" s="66" t="s">
        <v>163</v>
      </c>
      <c r="C4127" s="67">
        <v>29</v>
      </c>
      <c r="D4127" s="68">
        <v>270400</v>
      </c>
      <c r="E4127" s="68">
        <v>114422</v>
      </c>
      <c r="F4127" s="69">
        <v>113027</v>
      </c>
      <c r="G4127" s="69">
        <v>42950</v>
      </c>
      <c r="H4127" s="70">
        <v>0</v>
      </c>
    </row>
    <row r="4128" spans="1:8" ht="13.5" x14ac:dyDescent="0.15">
      <c r="A4128" s="250"/>
      <c r="B4128" s="66" t="s">
        <v>164</v>
      </c>
      <c r="C4128" s="67">
        <v>13</v>
      </c>
      <c r="D4128" s="68">
        <v>0</v>
      </c>
      <c r="E4128" s="68">
        <v>0</v>
      </c>
      <c r="F4128" s="69">
        <v>0</v>
      </c>
      <c r="G4128" s="69">
        <v>0</v>
      </c>
      <c r="H4128" s="70">
        <v>0</v>
      </c>
    </row>
    <row r="4129" spans="1:8" ht="18" customHeight="1" x14ac:dyDescent="0.15">
      <c r="A4129" s="250"/>
      <c r="B4129" s="71" t="s">
        <v>165</v>
      </c>
      <c r="C4129" s="72">
        <v>1</v>
      </c>
      <c r="D4129" s="73">
        <v>159562</v>
      </c>
      <c r="E4129" s="73">
        <v>119233</v>
      </c>
      <c r="F4129" s="74">
        <v>9512</v>
      </c>
      <c r="G4129" s="74">
        <v>29208</v>
      </c>
      <c r="H4129" s="75">
        <v>1607</v>
      </c>
    </row>
    <row r="4130" spans="1:8" ht="18" customHeight="1" x14ac:dyDescent="0.15">
      <c r="A4130" s="250"/>
      <c r="B4130" s="66" t="s">
        <v>166</v>
      </c>
      <c r="C4130" s="67">
        <v>54</v>
      </c>
      <c r="D4130" s="68">
        <v>11519971</v>
      </c>
      <c r="E4130" s="68">
        <v>3183088</v>
      </c>
      <c r="F4130" s="69">
        <v>2714631</v>
      </c>
      <c r="G4130" s="69">
        <v>5583794</v>
      </c>
      <c r="H4130" s="70">
        <v>38456</v>
      </c>
    </row>
    <row r="4131" spans="1:8" ht="13.5" x14ac:dyDescent="0.15">
      <c r="A4131" s="250"/>
      <c r="B4131" s="76" t="s">
        <v>167</v>
      </c>
      <c r="C4131" s="67">
        <v>145</v>
      </c>
      <c r="D4131" s="68">
        <v>14586312</v>
      </c>
      <c r="E4131" s="68">
        <v>3311399</v>
      </c>
      <c r="F4131" s="69">
        <v>1167103</v>
      </c>
      <c r="G4131" s="69">
        <v>9971377</v>
      </c>
      <c r="H4131" s="70">
        <v>136431</v>
      </c>
    </row>
    <row r="4132" spans="1:8" ht="18" customHeight="1" x14ac:dyDescent="0.15">
      <c r="A4132" s="251"/>
      <c r="B4132" s="77" t="s">
        <v>168</v>
      </c>
      <c r="C4132" s="72">
        <v>55</v>
      </c>
      <c r="D4132" s="73">
        <v>256937</v>
      </c>
      <c r="E4132" s="73">
        <v>227364</v>
      </c>
      <c r="F4132" s="74">
        <v>17752</v>
      </c>
      <c r="G4132" s="74">
        <v>10064</v>
      </c>
      <c r="H4132" s="75">
        <v>1755</v>
      </c>
    </row>
    <row r="4133" spans="1:8" ht="18" customHeight="1" x14ac:dyDescent="0.15">
      <c r="A4133" s="30" t="s">
        <v>169</v>
      </c>
      <c r="B4133" s="78" t="s">
        <v>170</v>
      </c>
      <c r="C4133" s="79">
        <v>36</v>
      </c>
      <c r="D4133" s="80">
        <v>171824</v>
      </c>
      <c r="E4133" s="80">
        <v>170223</v>
      </c>
      <c r="F4133" s="81">
        <v>1033</v>
      </c>
      <c r="G4133" s="81">
        <v>79</v>
      </c>
      <c r="H4133" s="82">
        <v>487</v>
      </c>
    </row>
    <row r="4134" spans="1:8" ht="13.5" x14ac:dyDescent="0.15">
      <c r="A4134" s="252" t="s">
        <v>171</v>
      </c>
      <c r="B4134" s="17" t="s">
        <v>172</v>
      </c>
      <c r="C4134" s="16">
        <v>3017</v>
      </c>
      <c r="D4134" s="83">
        <v>59172464</v>
      </c>
      <c r="E4134" s="83">
        <v>9281344</v>
      </c>
      <c r="F4134" s="84">
        <v>6671538</v>
      </c>
      <c r="G4134" s="84">
        <v>35593514</v>
      </c>
      <c r="H4134" s="85">
        <v>7626066</v>
      </c>
    </row>
    <row r="4135" spans="1:8" ht="18" customHeight="1" x14ac:dyDescent="0.15">
      <c r="A4135" s="250"/>
      <c r="B4135" s="23" t="s">
        <v>173</v>
      </c>
      <c r="C4135" s="22">
        <v>2994</v>
      </c>
      <c r="D4135" s="86">
        <v>14467842</v>
      </c>
      <c r="E4135" s="86">
        <v>676349</v>
      </c>
      <c r="F4135" s="87">
        <v>2934476</v>
      </c>
      <c r="G4135" s="87">
        <v>8944195</v>
      </c>
      <c r="H4135" s="88">
        <v>1912821</v>
      </c>
    </row>
    <row r="4136" spans="1:8" ht="18" customHeight="1" x14ac:dyDescent="0.15">
      <c r="A4136" s="250"/>
      <c r="B4136" s="24" t="s">
        <v>174</v>
      </c>
      <c r="C4136" s="22">
        <v>611</v>
      </c>
      <c r="D4136" s="86">
        <v>34971570</v>
      </c>
      <c r="E4136" s="86">
        <v>2118624</v>
      </c>
      <c r="F4136" s="87">
        <v>5159305</v>
      </c>
      <c r="G4136" s="87">
        <v>21549051</v>
      </c>
      <c r="H4136" s="88">
        <v>6144588</v>
      </c>
    </row>
    <row r="4137" spans="1:8" ht="18" customHeight="1" x14ac:dyDescent="0.15">
      <c r="A4137" s="250"/>
      <c r="B4137" s="23" t="s">
        <v>175</v>
      </c>
      <c r="C4137" s="22">
        <v>1444</v>
      </c>
      <c r="D4137" s="86">
        <v>43339200</v>
      </c>
      <c r="E4137" s="86">
        <v>4027487</v>
      </c>
      <c r="F4137" s="87">
        <v>6720325</v>
      </c>
      <c r="G4137" s="87">
        <v>28939382</v>
      </c>
      <c r="H4137" s="88">
        <v>3652005</v>
      </c>
    </row>
    <row r="4138" spans="1:8" ht="18" customHeight="1" x14ac:dyDescent="0.15">
      <c r="A4138" s="250"/>
      <c r="B4138" s="23" t="s">
        <v>176</v>
      </c>
      <c r="C4138" s="22">
        <v>145</v>
      </c>
      <c r="D4138" s="86">
        <v>3936500</v>
      </c>
      <c r="E4138" s="86">
        <v>49327</v>
      </c>
      <c r="F4138" s="87">
        <v>149557</v>
      </c>
      <c r="G4138" s="87">
        <v>3680068</v>
      </c>
      <c r="H4138" s="88">
        <v>57546</v>
      </c>
    </row>
    <row r="4139" spans="1:8" ht="18" customHeight="1" x14ac:dyDescent="0.15">
      <c r="A4139" s="250"/>
      <c r="B4139" s="23" t="s">
        <v>177</v>
      </c>
      <c r="C4139" s="22">
        <v>99</v>
      </c>
      <c r="D4139" s="86">
        <v>1015100</v>
      </c>
      <c r="E4139" s="86">
        <v>228350</v>
      </c>
      <c r="F4139" s="87">
        <v>55500</v>
      </c>
      <c r="G4139" s="87">
        <v>481670</v>
      </c>
      <c r="H4139" s="88">
        <v>249580</v>
      </c>
    </row>
    <row r="4140" spans="1:8" ht="18" customHeight="1" x14ac:dyDescent="0.15">
      <c r="A4140" s="250"/>
      <c r="B4140" s="23" t="s">
        <v>178</v>
      </c>
      <c r="C4140" s="22">
        <v>34</v>
      </c>
      <c r="D4140" s="86">
        <v>286506</v>
      </c>
      <c r="E4140" s="86">
        <v>112653</v>
      </c>
      <c r="F4140" s="87">
        <v>17246</v>
      </c>
      <c r="G4140" s="87">
        <v>100387</v>
      </c>
      <c r="H4140" s="88">
        <v>56219</v>
      </c>
    </row>
    <row r="4141" spans="1:8" ht="18" customHeight="1" x14ac:dyDescent="0.15">
      <c r="A4141" s="250"/>
      <c r="B4141" s="23" t="s">
        <v>179</v>
      </c>
      <c r="C4141" s="22">
        <v>0</v>
      </c>
      <c r="D4141" s="86">
        <v>0</v>
      </c>
      <c r="E4141" s="86">
        <v>0</v>
      </c>
      <c r="F4141" s="87">
        <v>0</v>
      </c>
      <c r="G4141" s="87">
        <v>0</v>
      </c>
      <c r="H4141" s="88">
        <v>0</v>
      </c>
    </row>
    <row r="4142" spans="1:8" ht="18" customHeight="1" x14ac:dyDescent="0.15">
      <c r="A4142" s="250"/>
      <c r="B4142" s="23" t="s">
        <v>180</v>
      </c>
      <c r="C4142" s="22">
        <v>264</v>
      </c>
      <c r="D4142" s="86">
        <v>11183940</v>
      </c>
      <c r="E4142" s="86">
        <v>856310</v>
      </c>
      <c r="F4142" s="87">
        <v>3305100</v>
      </c>
      <c r="G4142" s="87">
        <v>3776530</v>
      </c>
      <c r="H4142" s="88">
        <v>3246000</v>
      </c>
    </row>
    <row r="4143" spans="1:8" ht="18" customHeight="1" x14ac:dyDescent="0.15">
      <c r="A4143" s="250"/>
      <c r="B4143" s="23" t="s">
        <v>181</v>
      </c>
      <c r="C4143" s="22">
        <v>2851</v>
      </c>
      <c r="D4143" s="86">
        <v>57895719</v>
      </c>
      <c r="E4143" s="86">
        <v>12429645</v>
      </c>
      <c r="F4143" s="87">
        <v>7472349</v>
      </c>
      <c r="G4143" s="87">
        <v>31880999</v>
      </c>
      <c r="H4143" s="88">
        <v>6112724</v>
      </c>
    </row>
    <row r="4144" spans="1:8" ht="13.5" x14ac:dyDescent="0.15">
      <c r="A4144" s="250"/>
      <c r="B4144" s="23" t="s">
        <v>182</v>
      </c>
      <c r="C4144" s="22">
        <v>538</v>
      </c>
      <c r="D4144" s="86">
        <v>14272800</v>
      </c>
      <c r="E4144" s="86">
        <v>1731518</v>
      </c>
      <c r="F4144" s="87">
        <v>1307976</v>
      </c>
      <c r="G4144" s="87">
        <v>10015050</v>
      </c>
      <c r="H4144" s="88">
        <v>1218254</v>
      </c>
    </row>
    <row r="4145" spans="1:8" ht="18" customHeight="1" x14ac:dyDescent="0.15">
      <c r="A4145" s="250"/>
      <c r="B4145" s="23" t="s">
        <v>183</v>
      </c>
      <c r="C4145" s="22">
        <v>41424</v>
      </c>
      <c r="D4145" s="86">
        <v>11499973</v>
      </c>
      <c r="E4145" s="86">
        <v>415809</v>
      </c>
      <c r="F4145" s="87">
        <v>6068827</v>
      </c>
      <c r="G4145" s="87">
        <v>4771236</v>
      </c>
      <c r="H4145" s="88">
        <v>244100</v>
      </c>
    </row>
    <row r="4146" spans="1:8" ht="18" customHeight="1" x14ac:dyDescent="0.15">
      <c r="A4146" s="250"/>
      <c r="B4146" s="23" t="s">
        <v>184</v>
      </c>
      <c r="C4146" s="22">
        <v>114</v>
      </c>
      <c r="D4146" s="86">
        <v>1400425</v>
      </c>
      <c r="E4146" s="86">
        <v>5761</v>
      </c>
      <c r="F4146" s="87">
        <v>1093358</v>
      </c>
      <c r="G4146" s="87">
        <v>301306</v>
      </c>
      <c r="H4146" s="88">
        <v>0</v>
      </c>
    </row>
    <row r="4147" spans="1:8" ht="18" customHeight="1" x14ac:dyDescent="0.15">
      <c r="A4147" s="250"/>
      <c r="B4147" s="23" t="s">
        <v>185</v>
      </c>
      <c r="C4147" s="22">
        <v>43</v>
      </c>
      <c r="D4147" s="86">
        <v>550500</v>
      </c>
      <c r="E4147" s="86">
        <v>95361</v>
      </c>
      <c r="F4147" s="87">
        <v>88200</v>
      </c>
      <c r="G4147" s="87">
        <v>308139</v>
      </c>
      <c r="H4147" s="88">
        <v>58800</v>
      </c>
    </row>
    <row r="4148" spans="1:8" ht="18" customHeight="1" x14ac:dyDescent="0.15">
      <c r="A4148" s="250"/>
      <c r="B4148" s="23" t="s">
        <v>186</v>
      </c>
      <c r="C4148" s="22">
        <v>437</v>
      </c>
      <c r="D4148" s="86">
        <v>2288433</v>
      </c>
      <c r="E4148" s="86">
        <v>338971</v>
      </c>
      <c r="F4148" s="87">
        <v>1055430</v>
      </c>
      <c r="G4148" s="87">
        <v>808693</v>
      </c>
      <c r="H4148" s="88">
        <v>85337</v>
      </c>
    </row>
    <row r="4149" spans="1:8" ht="18" customHeight="1" x14ac:dyDescent="0.15">
      <c r="A4149" s="250"/>
      <c r="B4149" s="23" t="s">
        <v>187</v>
      </c>
      <c r="C4149" s="22">
        <v>342</v>
      </c>
      <c r="D4149" s="86">
        <v>9112690</v>
      </c>
      <c r="E4149" s="86">
        <v>874794</v>
      </c>
      <c r="F4149" s="87">
        <v>1744408</v>
      </c>
      <c r="G4149" s="87">
        <v>5919200</v>
      </c>
      <c r="H4149" s="88">
        <v>574287</v>
      </c>
    </row>
    <row r="4150" spans="1:8" ht="13.5" x14ac:dyDescent="0.15">
      <c r="A4150" s="250"/>
      <c r="B4150" s="23" t="s">
        <v>188</v>
      </c>
      <c r="C4150" s="22">
        <v>38</v>
      </c>
      <c r="D4150" s="86">
        <v>1717200</v>
      </c>
      <c r="E4150" s="86">
        <v>167000</v>
      </c>
      <c r="F4150" s="87">
        <v>585400</v>
      </c>
      <c r="G4150" s="87">
        <v>828800</v>
      </c>
      <c r="H4150" s="88">
        <v>136000</v>
      </c>
    </row>
    <row r="4151" spans="1:8" ht="18" customHeight="1" x14ac:dyDescent="0.15">
      <c r="A4151" s="250"/>
      <c r="B4151" s="23" t="s">
        <v>189</v>
      </c>
      <c r="C4151" s="22">
        <v>0</v>
      </c>
      <c r="D4151" s="86">
        <v>0</v>
      </c>
      <c r="E4151" s="86">
        <v>0</v>
      </c>
      <c r="F4151" s="87">
        <v>0</v>
      </c>
      <c r="G4151" s="87">
        <v>0</v>
      </c>
      <c r="H4151" s="88">
        <v>0</v>
      </c>
    </row>
    <row r="4152" spans="1:8" ht="18" customHeight="1" x14ac:dyDescent="0.15">
      <c r="A4152" s="250"/>
      <c r="B4152" s="23" t="s">
        <v>190</v>
      </c>
      <c r="C4152" s="22">
        <v>13</v>
      </c>
      <c r="D4152" s="86">
        <v>421300</v>
      </c>
      <c r="E4152" s="86">
        <v>200</v>
      </c>
      <c r="F4152" s="87">
        <v>132800</v>
      </c>
      <c r="G4152" s="87">
        <v>286200</v>
      </c>
      <c r="H4152" s="88">
        <v>2100</v>
      </c>
    </row>
    <row r="4153" spans="1:8" ht="18" customHeight="1" x14ac:dyDescent="0.15">
      <c r="A4153" s="250"/>
      <c r="B4153" s="23" t="s">
        <v>191</v>
      </c>
      <c r="C4153" s="22">
        <v>1</v>
      </c>
      <c r="D4153" s="86">
        <v>3000</v>
      </c>
      <c r="E4153" s="86">
        <v>500</v>
      </c>
      <c r="F4153" s="87">
        <v>500</v>
      </c>
      <c r="G4153" s="87">
        <v>1200</v>
      </c>
      <c r="H4153" s="88">
        <v>800</v>
      </c>
    </row>
    <row r="4154" spans="1:8" ht="18" customHeight="1" x14ac:dyDescent="0.15">
      <c r="A4154" s="251"/>
      <c r="B4154" s="23" t="s">
        <v>192</v>
      </c>
      <c r="C4154" s="22">
        <v>12</v>
      </c>
      <c r="D4154" s="86">
        <v>6991</v>
      </c>
      <c r="E4154" s="86">
        <v>541</v>
      </c>
      <c r="F4154" s="87">
        <v>0</v>
      </c>
      <c r="G4154" s="87">
        <v>5950</v>
      </c>
      <c r="H4154" s="88">
        <v>500</v>
      </c>
    </row>
    <row r="4155" spans="1:8" ht="18" customHeight="1" x14ac:dyDescent="0.15">
      <c r="A4155" s="18" t="s">
        <v>193</v>
      </c>
      <c r="B4155" s="17" t="s">
        <v>194</v>
      </c>
      <c r="C4155" s="16">
        <v>3867</v>
      </c>
      <c r="D4155" s="80">
        <v>16549316</v>
      </c>
      <c r="E4155" s="80">
        <v>1235290</v>
      </c>
      <c r="F4155" s="81">
        <v>5381181</v>
      </c>
      <c r="G4155" s="81">
        <v>7839015</v>
      </c>
      <c r="H4155" s="82">
        <v>2093830</v>
      </c>
    </row>
    <row r="4156" spans="1:8" ht="13.5" x14ac:dyDescent="0.15">
      <c r="A4156" s="252" t="s">
        <v>195</v>
      </c>
      <c r="B4156" s="12" t="s">
        <v>196</v>
      </c>
      <c r="C4156" s="11">
        <v>5733</v>
      </c>
      <c r="D4156" s="89">
        <v>74518756</v>
      </c>
      <c r="E4156" s="89">
        <v>45140803</v>
      </c>
      <c r="F4156" s="90">
        <v>12878696</v>
      </c>
      <c r="G4156" s="90">
        <v>10690563</v>
      </c>
      <c r="H4156" s="91">
        <v>5808694</v>
      </c>
    </row>
    <row r="4157" spans="1:8" ht="18" customHeight="1" thickBot="1" x14ac:dyDescent="0.2">
      <c r="A4157" s="253"/>
      <c r="B4157" s="7" t="s">
        <v>197</v>
      </c>
      <c r="C4157" s="6">
        <v>4045</v>
      </c>
      <c r="D4157" s="92" t="s">
        <v>54</v>
      </c>
      <c r="E4157" s="92" t="s">
        <v>54</v>
      </c>
      <c r="F4157" s="92" t="s">
        <v>54</v>
      </c>
      <c r="G4157" s="92" t="s">
        <v>54</v>
      </c>
      <c r="H4157" s="93" t="s">
        <v>54</v>
      </c>
    </row>
    <row r="4158" spans="1:8" ht="18" customHeight="1" x14ac:dyDescent="0.15">
      <c r="A4158" s="3" t="s">
        <v>198</v>
      </c>
      <c r="B4158" s="2"/>
      <c r="C4158" s="2"/>
      <c r="D4158" s="2"/>
      <c r="E4158" s="2"/>
      <c r="F4158" s="2"/>
      <c r="G4158" s="2"/>
      <c r="H4158" s="2"/>
    </row>
    <row r="4159" spans="1:8" ht="24" x14ac:dyDescent="0.15">
      <c r="A4159" s="230" t="s">
        <v>149</v>
      </c>
      <c r="B4159" s="230"/>
      <c r="C4159" s="230"/>
      <c r="D4159" s="230"/>
      <c r="E4159" s="230"/>
      <c r="F4159" s="230"/>
      <c r="G4159" s="230"/>
      <c r="H4159" s="230"/>
    </row>
    <row r="4160" spans="1:8" ht="18" customHeight="1" x14ac:dyDescent="0.15">
      <c r="A4160" s="231"/>
      <c r="B4160" s="231"/>
      <c r="C4160" s="231"/>
      <c r="D4160" s="231"/>
      <c r="E4160" s="231"/>
      <c r="F4160" s="231"/>
      <c r="G4160" s="231"/>
      <c r="H4160" s="231"/>
    </row>
    <row r="4161" spans="1:8" ht="18" customHeight="1" thickBot="1" x14ac:dyDescent="0.2">
      <c r="A4161" s="58" t="s">
        <v>62</v>
      </c>
    </row>
    <row r="4162" spans="1:8" ht="14.25" x14ac:dyDescent="0.15">
      <c r="A4162" s="232" t="s">
        <v>61</v>
      </c>
      <c r="B4162" s="235" t="s">
        <v>110</v>
      </c>
      <c r="C4162" s="238" t="s">
        <v>109</v>
      </c>
      <c r="D4162" s="241" t="s">
        <v>108</v>
      </c>
      <c r="E4162" s="57"/>
      <c r="F4162" s="56"/>
      <c r="G4162" s="56"/>
      <c r="H4162" s="55"/>
    </row>
    <row r="4163" spans="1:8" ht="18" customHeight="1" x14ac:dyDescent="0.15">
      <c r="A4163" s="233"/>
      <c r="B4163" s="236"/>
      <c r="C4163" s="239"/>
      <c r="D4163" s="242"/>
      <c r="E4163" s="244" t="s">
        <v>107</v>
      </c>
      <c r="F4163" s="254" t="s">
        <v>106</v>
      </c>
      <c r="G4163" s="254" t="s">
        <v>105</v>
      </c>
      <c r="H4163" s="256" t="s">
        <v>104</v>
      </c>
    </row>
    <row r="4164" spans="1:8" ht="18" customHeight="1" thickBot="1" x14ac:dyDescent="0.2">
      <c r="A4164" s="234"/>
      <c r="B4164" s="237"/>
      <c r="C4164" s="240"/>
      <c r="D4164" s="243"/>
      <c r="E4164" s="245"/>
      <c r="F4164" s="255"/>
      <c r="G4164" s="255"/>
      <c r="H4164" s="257"/>
    </row>
    <row r="4165" spans="1:8" ht="15" thickTop="1" x14ac:dyDescent="0.15">
      <c r="A4165" s="54"/>
      <c r="B4165" s="53"/>
      <c r="C4165" s="52"/>
      <c r="D4165" s="51" t="s">
        <v>103</v>
      </c>
      <c r="E4165" s="50" t="s">
        <v>103</v>
      </c>
      <c r="F4165" s="49" t="s">
        <v>103</v>
      </c>
      <c r="G4165" s="49" t="s">
        <v>103</v>
      </c>
      <c r="H4165" s="48" t="s">
        <v>103</v>
      </c>
    </row>
    <row r="4166" spans="1:8" ht="18" customHeight="1" x14ac:dyDescent="0.15">
      <c r="A4166" s="250" t="s">
        <v>102</v>
      </c>
      <c r="B4166" s="47" t="s">
        <v>101</v>
      </c>
      <c r="C4166" s="46">
        <v>3626</v>
      </c>
      <c r="D4166" s="45">
        <v>561404851</v>
      </c>
      <c r="E4166" s="45">
        <v>212798960</v>
      </c>
      <c r="F4166" s="44">
        <v>173361487</v>
      </c>
      <c r="G4166" s="44">
        <v>169249280</v>
      </c>
      <c r="H4166" s="43">
        <v>5995122</v>
      </c>
    </row>
    <row r="4167" spans="1:8" ht="18" customHeight="1" x14ac:dyDescent="0.15">
      <c r="A4167" s="250"/>
      <c r="B4167" s="41" t="s">
        <v>100</v>
      </c>
      <c r="C4167" s="39">
        <v>29</v>
      </c>
      <c r="D4167" s="38">
        <v>276323</v>
      </c>
      <c r="E4167" s="38">
        <v>117737</v>
      </c>
      <c r="F4167" s="37">
        <v>118736</v>
      </c>
      <c r="G4167" s="37">
        <v>39849</v>
      </c>
      <c r="H4167" s="36">
        <v>0</v>
      </c>
    </row>
    <row r="4168" spans="1:8" ht="13.5" x14ac:dyDescent="0.15">
      <c r="A4168" s="250"/>
      <c r="B4168" s="41" t="s">
        <v>99</v>
      </c>
      <c r="C4168" s="39">
        <v>14</v>
      </c>
      <c r="D4168" s="38">
        <v>0</v>
      </c>
      <c r="E4168" s="38">
        <v>0</v>
      </c>
      <c r="F4168" s="37">
        <v>0</v>
      </c>
      <c r="G4168" s="37">
        <v>0</v>
      </c>
      <c r="H4168" s="36">
        <v>0</v>
      </c>
    </row>
    <row r="4169" spans="1:8" ht="18" customHeight="1" x14ac:dyDescent="0.15">
      <c r="A4169" s="250"/>
      <c r="B4169" s="42" t="s">
        <v>98</v>
      </c>
      <c r="C4169" s="34">
        <v>1</v>
      </c>
      <c r="D4169" s="33">
        <v>160270</v>
      </c>
      <c r="E4169" s="33">
        <v>119730</v>
      </c>
      <c r="F4169" s="32">
        <v>9598</v>
      </c>
      <c r="G4169" s="32">
        <v>29325</v>
      </c>
      <c r="H4169" s="31">
        <v>1615</v>
      </c>
    </row>
    <row r="4170" spans="1:8" ht="18" customHeight="1" x14ac:dyDescent="0.15">
      <c r="A4170" s="250"/>
      <c r="B4170" s="41" t="s">
        <v>97</v>
      </c>
      <c r="C4170" s="39">
        <v>53</v>
      </c>
      <c r="D4170" s="38">
        <v>10781769</v>
      </c>
      <c r="E4170" s="38">
        <v>2962127</v>
      </c>
      <c r="F4170" s="37">
        <v>2450338</v>
      </c>
      <c r="G4170" s="37">
        <v>5347810</v>
      </c>
      <c r="H4170" s="36">
        <v>21493</v>
      </c>
    </row>
    <row r="4171" spans="1:8" ht="13.5" x14ac:dyDescent="0.15">
      <c r="A4171" s="250"/>
      <c r="B4171" s="40" t="s">
        <v>96</v>
      </c>
      <c r="C4171" s="39">
        <v>145</v>
      </c>
      <c r="D4171" s="38">
        <v>15782540</v>
      </c>
      <c r="E4171" s="38">
        <v>3611125</v>
      </c>
      <c r="F4171" s="37">
        <v>1443540</v>
      </c>
      <c r="G4171" s="37">
        <v>10563844</v>
      </c>
      <c r="H4171" s="36">
        <v>164030</v>
      </c>
    </row>
    <row r="4172" spans="1:8" ht="18" customHeight="1" x14ac:dyDescent="0.15">
      <c r="A4172" s="251"/>
      <c r="B4172" s="35" t="s">
        <v>95</v>
      </c>
      <c r="C4172" s="34">
        <v>55</v>
      </c>
      <c r="D4172" s="33">
        <v>257324</v>
      </c>
      <c r="E4172" s="33">
        <v>223391</v>
      </c>
      <c r="F4172" s="32">
        <v>21444</v>
      </c>
      <c r="G4172" s="32">
        <v>10049</v>
      </c>
      <c r="H4172" s="31">
        <v>2439</v>
      </c>
    </row>
    <row r="4173" spans="1:8" ht="18" customHeight="1" x14ac:dyDescent="0.15">
      <c r="A4173" s="30" t="s">
        <v>94</v>
      </c>
      <c r="B4173" s="29" t="s">
        <v>93</v>
      </c>
      <c r="C4173" s="28">
        <v>37</v>
      </c>
      <c r="D4173" s="15">
        <v>125379</v>
      </c>
      <c r="E4173" s="15">
        <v>124247</v>
      </c>
      <c r="F4173" s="14">
        <v>911</v>
      </c>
      <c r="G4173" s="14">
        <v>34</v>
      </c>
      <c r="H4173" s="13">
        <v>185</v>
      </c>
    </row>
    <row r="4174" spans="1:8" ht="13.5" x14ac:dyDescent="0.15">
      <c r="A4174" s="252" t="s">
        <v>92</v>
      </c>
      <c r="B4174" s="17" t="s">
        <v>91</v>
      </c>
      <c r="C4174" s="16">
        <v>3010</v>
      </c>
      <c r="D4174" s="27">
        <v>59051664</v>
      </c>
      <c r="E4174" s="27">
        <v>9439778</v>
      </c>
      <c r="F4174" s="26">
        <v>6567032</v>
      </c>
      <c r="G4174" s="26">
        <v>35508486</v>
      </c>
      <c r="H4174" s="25">
        <v>7536367</v>
      </c>
    </row>
    <row r="4175" spans="1:8" ht="18" customHeight="1" x14ac:dyDescent="0.15">
      <c r="A4175" s="250"/>
      <c r="B4175" s="23" t="s">
        <v>90</v>
      </c>
      <c r="C4175" s="22">
        <v>2984</v>
      </c>
      <c r="D4175" s="21">
        <v>14463211</v>
      </c>
      <c r="E4175" s="21">
        <v>673987</v>
      </c>
      <c r="F4175" s="20">
        <v>2887376</v>
      </c>
      <c r="G4175" s="20">
        <v>8964613</v>
      </c>
      <c r="H4175" s="19">
        <v>1937234</v>
      </c>
    </row>
    <row r="4176" spans="1:8" ht="18" customHeight="1" x14ac:dyDescent="0.15">
      <c r="A4176" s="250"/>
      <c r="B4176" s="24" t="s">
        <v>89</v>
      </c>
      <c r="C4176" s="22">
        <v>610</v>
      </c>
      <c r="D4176" s="21">
        <v>35097570</v>
      </c>
      <c r="E4176" s="21">
        <v>2257594</v>
      </c>
      <c r="F4176" s="20">
        <v>5191354</v>
      </c>
      <c r="G4176" s="20">
        <v>21526345</v>
      </c>
      <c r="H4176" s="19">
        <v>6122276</v>
      </c>
    </row>
    <row r="4177" spans="1:8" ht="18" customHeight="1" x14ac:dyDescent="0.15">
      <c r="A4177" s="250"/>
      <c r="B4177" s="23" t="s">
        <v>88</v>
      </c>
      <c r="C4177" s="22">
        <v>1429</v>
      </c>
      <c r="D4177" s="21">
        <v>43033500</v>
      </c>
      <c r="E4177" s="21">
        <v>4068108</v>
      </c>
      <c r="F4177" s="20">
        <v>6635751</v>
      </c>
      <c r="G4177" s="20">
        <v>28758075</v>
      </c>
      <c r="H4177" s="19">
        <v>3571565</v>
      </c>
    </row>
    <row r="4178" spans="1:8" ht="18" customHeight="1" x14ac:dyDescent="0.15">
      <c r="A4178" s="250"/>
      <c r="B4178" s="23" t="s">
        <v>87</v>
      </c>
      <c r="C4178" s="22">
        <v>142</v>
      </c>
      <c r="D4178" s="21">
        <v>3963500</v>
      </c>
      <c r="E4178" s="21">
        <v>50864</v>
      </c>
      <c r="F4178" s="20">
        <v>148202</v>
      </c>
      <c r="G4178" s="20">
        <v>3706886</v>
      </c>
      <c r="H4178" s="19">
        <v>57546</v>
      </c>
    </row>
    <row r="4179" spans="1:8" ht="18" customHeight="1" x14ac:dyDescent="0.15">
      <c r="A4179" s="250"/>
      <c r="B4179" s="23" t="s">
        <v>86</v>
      </c>
      <c r="C4179" s="22">
        <v>94</v>
      </c>
      <c r="D4179" s="21">
        <v>970100</v>
      </c>
      <c r="E4179" s="21">
        <v>223800</v>
      </c>
      <c r="F4179" s="20">
        <v>47200</v>
      </c>
      <c r="G4179" s="20">
        <v>464420</v>
      </c>
      <c r="H4179" s="19">
        <v>234680</v>
      </c>
    </row>
    <row r="4180" spans="1:8" ht="18" customHeight="1" x14ac:dyDescent="0.15">
      <c r="A4180" s="250"/>
      <c r="B4180" s="23" t="s">
        <v>85</v>
      </c>
      <c r="C4180" s="22">
        <v>34</v>
      </c>
      <c r="D4180" s="21">
        <v>286506</v>
      </c>
      <c r="E4180" s="21">
        <v>111029</v>
      </c>
      <c r="F4180" s="20">
        <v>17246</v>
      </c>
      <c r="G4180" s="20">
        <v>101871</v>
      </c>
      <c r="H4180" s="19">
        <v>56359</v>
      </c>
    </row>
    <row r="4181" spans="1:8" ht="18" customHeight="1" x14ac:dyDescent="0.15">
      <c r="A4181" s="250"/>
      <c r="B4181" s="23" t="s">
        <v>84</v>
      </c>
      <c r="C4181" s="22">
        <v>0</v>
      </c>
      <c r="D4181" s="21">
        <v>0</v>
      </c>
      <c r="E4181" s="21">
        <v>0</v>
      </c>
      <c r="F4181" s="20">
        <v>0</v>
      </c>
      <c r="G4181" s="20">
        <v>0</v>
      </c>
      <c r="H4181" s="19">
        <v>0</v>
      </c>
    </row>
    <row r="4182" spans="1:8" ht="18" customHeight="1" x14ac:dyDescent="0.15">
      <c r="A4182" s="250"/>
      <c r="B4182" s="23" t="s">
        <v>83</v>
      </c>
      <c r="C4182" s="22">
        <v>266</v>
      </c>
      <c r="D4182" s="21">
        <v>11262540</v>
      </c>
      <c r="E4182" s="21">
        <v>918500</v>
      </c>
      <c r="F4182" s="20">
        <v>3294980</v>
      </c>
      <c r="G4182" s="20">
        <v>3767920</v>
      </c>
      <c r="H4182" s="19">
        <v>3281140</v>
      </c>
    </row>
    <row r="4183" spans="1:8" ht="18" customHeight="1" x14ac:dyDescent="0.15">
      <c r="A4183" s="250"/>
      <c r="B4183" s="23" t="s">
        <v>82</v>
      </c>
      <c r="C4183" s="22">
        <v>2838</v>
      </c>
      <c r="D4183" s="21">
        <v>57609519</v>
      </c>
      <c r="E4183" s="21">
        <v>12200690</v>
      </c>
      <c r="F4183" s="20">
        <v>7351464</v>
      </c>
      <c r="G4183" s="20">
        <v>32007516</v>
      </c>
      <c r="H4183" s="19">
        <v>6049847</v>
      </c>
    </row>
    <row r="4184" spans="1:8" ht="13.5" x14ac:dyDescent="0.15">
      <c r="A4184" s="250"/>
      <c r="B4184" s="23" t="s">
        <v>81</v>
      </c>
      <c r="C4184" s="22">
        <v>537</v>
      </c>
      <c r="D4184" s="21">
        <v>14372600</v>
      </c>
      <c r="E4184" s="21">
        <v>1718126</v>
      </c>
      <c r="F4184" s="20">
        <v>1333201</v>
      </c>
      <c r="G4184" s="20">
        <v>10116212</v>
      </c>
      <c r="H4184" s="19">
        <v>1205058</v>
      </c>
    </row>
    <row r="4185" spans="1:8" ht="18" customHeight="1" x14ac:dyDescent="0.15">
      <c r="A4185" s="250"/>
      <c r="B4185" s="23" t="s">
        <v>80</v>
      </c>
      <c r="C4185" s="22">
        <v>41399</v>
      </c>
      <c r="D4185" s="21">
        <v>11497750</v>
      </c>
      <c r="E4185" s="21">
        <v>409547</v>
      </c>
      <c r="F4185" s="20">
        <v>6010732</v>
      </c>
      <c r="G4185" s="20">
        <v>4834850</v>
      </c>
      <c r="H4185" s="19">
        <v>242620</v>
      </c>
    </row>
    <row r="4186" spans="1:8" ht="18" customHeight="1" x14ac:dyDescent="0.15">
      <c r="A4186" s="250"/>
      <c r="B4186" s="23" t="s">
        <v>79</v>
      </c>
      <c r="C4186" s="22">
        <v>114</v>
      </c>
      <c r="D4186" s="21">
        <v>1400062</v>
      </c>
      <c r="E4186" s="21">
        <v>5761</v>
      </c>
      <c r="F4186" s="20">
        <v>1092995</v>
      </c>
      <c r="G4186" s="20">
        <v>301306</v>
      </c>
      <c r="H4186" s="19">
        <v>0</v>
      </c>
    </row>
    <row r="4187" spans="1:8" ht="18" customHeight="1" x14ac:dyDescent="0.15">
      <c r="A4187" s="250"/>
      <c r="B4187" s="23" t="s">
        <v>78</v>
      </c>
      <c r="C4187" s="22">
        <v>45</v>
      </c>
      <c r="D4187" s="21">
        <v>655500</v>
      </c>
      <c r="E4187" s="21">
        <v>103261</v>
      </c>
      <c r="F4187" s="20">
        <v>88900</v>
      </c>
      <c r="G4187" s="20">
        <v>379739</v>
      </c>
      <c r="H4187" s="19">
        <v>83600</v>
      </c>
    </row>
    <row r="4188" spans="1:8" ht="18" customHeight="1" x14ac:dyDescent="0.15">
      <c r="A4188" s="250"/>
      <c r="B4188" s="23" t="s">
        <v>77</v>
      </c>
      <c r="C4188" s="22">
        <v>437</v>
      </c>
      <c r="D4188" s="21">
        <v>2286662</v>
      </c>
      <c r="E4188" s="21">
        <v>349273</v>
      </c>
      <c r="F4188" s="20">
        <v>1069858</v>
      </c>
      <c r="G4188" s="20">
        <v>781192</v>
      </c>
      <c r="H4188" s="19">
        <v>86337</v>
      </c>
    </row>
    <row r="4189" spans="1:8" ht="18" customHeight="1" x14ac:dyDescent="0.15">
      <c r="A4189" s="250"/>
      <c r="B4189" s="23" t="s">
        <v>76</v>
      </c>
      <c r="C4189" s="22">
        <v>348</v>
      </c>
      <c r="D4189" s="21">
        <v>9309140</v>
      </c>
      <c r="E4189" s="21">
        <v>883468</v>
      </c>
      <c r="F4189" s="20">
        <v>1780855</v>
      </c>
      <c r="G4189" s="20">
        <v>6058430</v>
      </c>
      <c r="H4189" s="19">
        <v>586387</v>
      </c>
    </row>
    <row r="4190" spans="1:8" ht="13.5" x14ac:dyDescent="0.15">
      <c r="A4190" s="250"/>
      <c r="B4190" s="23" t="s">
        <v>75</v>
      </c>
      <c r="C4190" s="22">
        <v>38</v>
      </c>
      <c r="D4190" s="21">
        <v>1717200</v>
      </c>
      <c r="E4190" s="21">
        <v>166500</v>
      </c>
      <c r="F4190" s="20">
        <v>585400</v>
      </c>
      <c r="G4190" s="20">
        <v>828800</v>
      </c>
      <c r="H4190" s="19">
        <v>136500</v>
      </c>
    </row>
    <row r="4191" spans="1:8" ht="18" customHeight="1" x14ac:dyDescent="0.15">
      <c r="A4191" s="250"/>
      <c r="B4191" s="23" t="s">
        <v>74</v>
      </c>
      <c r="C4191" s="22">
        <v>0</v>
      </c>
      <c r="D4191" s="21">
        <v>0</v>
      </c>
      <c r="E4191" s="21">
        <v>0</v>
      </c>
      <c r="F4191" s="20">
        <v>0</v>
      </c>
      <c r="G4191" s="20">
        <v>0</v>
      </c>
      <c r="H4191" s="19">
        <v>0</v>
      </c>
    </row>
    <row r="4192" spans="1:8" ht="18" customHeight="1" x14ac:dyDescent="0.15">
      <c r="A4192" s="250"/>
      <c r="B4192" s="23" t="s">
        <v>73</v>
      </c>
      <c r="C4192" s="22">
        <v>13</v>
      </c>
      <c r="D4192" s="21">
        <v>421300</v>
      </c>
      <c r="E4192" s="21">
        <v>200</v>
      </c>
      <c r="F4192" s="20">
        <v>132800</v>
      </c>
      <c r="G4192" s="20">
        <v>286200</v>
      </c>
      <c r="H4192" s="19">
        <v>2100</v>
      </c>
    </row>
    <row r="4193" spans="1:8" ht="18" customHeight="1" x14ac:dyDescent="0.15">
      <c r="A4193" s="250"/>
      <c r="B4193" s="23" t="s">
        <v>72</v>
      </c>
      <c r="C4193" s="22">
        <v>1</v>
      </c>
      <c r="D4193" s="21">
        <v>3000</v>
      </c>
      <c r="E4193" s="21">
        <v>500</v>
      </c>
      <c r="F4193" s="20">
        <v>500</v>
      </c>
      <c r="G4193" s="20">
        <v>1200</v>
      </c>
      <c r="H4193" s="19">
        <v>800</v>
      </c>
    </row>
    <row r="4194" spans="1:8" ht="18" customHeight="1" x14ac:dyDescent="0.15">
      <c r="A4194" s="251"/>
      <c r="B4194" s="23" t="s">
        <v>71</v>
      </c>
      <c r="C4194" s="22">
        <v>11</v>
      </c>
      <c r="D4194" s="21">
        <v>6941</v>
      </c>
      <c r="E4194" s="21">
        <v>541</v>
      </c>
      <c r="F4194" s="20">
        <v>0</v>
      </c>
      <c r="G4194" s="20">
        <v>5900</v>
      </c>
      <c r="H4194" s="19">
        <v>500</v>
      </c>
    </row>
    <row r="4195" spans="1:8" ht="18" customHeight="1" x14ac:dyDescent="0.15">
      <c r="A4195" s="18" t="s">
        <v>70</v>
      </c>
      <c r="B4195" s="17" t="s">
        <v>69</v>
      </c>
      <c r="C4195" s="16">
        <v>4186</v>
      </c>
      <c r="D4195" s="15">
        <v>16725364</v>
      </c>
      <c r="E4195" s="15">
        <v>1223550</v>
      </c>
      <c r="F4195" s="14">
        <v>3926047</v>
      </c>
      <c r="G4195" s="14">
        <v>9134227</v>
      </c>
      <c r="H4195" s="13">
        <v>2441540</v>
      </c>
    </row>
    <row r="4196" spans="1:8" ht="13.5" x14ac:dyDescent="0.15">
      <c r="A4196" s="252" t="s">
        <v>68</v>
      </c>
      <c r="B4196" s="12" t="s">
        <v>67</v>
      </c>
      <c r="C4196" s="11">
        <v>5725</v>
      </c>
      <c r="D4196" s="10">
        <v>77991813</v>
      </c>
      <c r="E4196" s="10">
        <v>47310242</v>
      </c>
      <c r="F4196" s="9">
        <v>13556757</v>
      </c>
      <c r="G4196" s="9">
        <v>11074768</v>
      </c>
      <c r="H4196" s="8">
        <v>6050043</v>
      </c>
    </row>
    <row r="4197" spans="1:8" ht="18" customHeight="1" thickBot="1" x14ac:dyDescent="0.2">
      <c r="A4197" s="253"/>
      <c r="B4197" s="7" t="s">
        <v>66</v>
      </c>
      <c r="C4197" s="6">
        <v>3992</v>
      </c>
      <c r="D4197" s="5" t="s">
        <v>54</v>
      </c>
      <c r="E4197" s="5" t="s">
        <v>54</v>
      </c>
      <c r="F4197" s="5" t="s">
        <v>54</v>
      </c>
      <c r="G4197" s="5" t="s">
        <v>54</v>
      </c>
      <c r="H4197" s="4" t="s">
        <v>54</v>
      </c>
    </row>
    <row r="4198" spans="1:8" ht="18" customHeight="1" x14ac:dyDescent="0.15">
      <c r="A4198" s="3" t="s">
        <v>148</v>
      </c>
      <c r="B4198" s="2"/>
      <c r="C4198" s="2"/>
      <c r="D4198" s="2"/>
      <c r="E4198" s="2"/>
      <c r="F4198" s="2"/>
      <c r="G4198" s="2"/>
      <c r="H4198" s="2"/>
    </row>
    <row r="4199" spans="1:8" ht="24" x14ac:dyDescent="0.15">
      <c r="A4199" s="230" t="s">
        <v>147</v>
      </c>
      <c r="B4199" s="230"/>
      <c r="C4199" s="230"/>
      <c r="D4199" s="230"/>
      <c r="E4199" s="230"/>
      <c r="F4199" s="230"/>
      <c r="G4199" s="230"/>
      <c r="H4199" s="230"/>
    </row>
    <row r="4200" spans="1:8" ht="18" customHeight="1" x14ac:dyDescent="0.15">
      <c r="A4200" s="231"/>
      <c r="B4200" s="231"/>
      <c r="C4200" s="231"/>
      <c r="D4200" s="231"/>
      <c r="E4200" s="231"/>
      <c r="F4200" s="231"/>
      <c r="G4200" s="231"/>
      <c r="H4200" s="231"/>
    </row>
    <row r="4201" spans="1:8" ht="18" customHeight="1" thickBot="1" x14ac:dyDescent="0.2">
      <c r="A4201" s="58" t="s">
        <v>62</v>
      </c>
    </row>
    <row r="4202" spans="1:8" ht="14.25" x14ac:dyDescent="0.15">
      <c r="A4202" s="232" t="s">
        <v>61</v>
      </c>
      <c r="B4202" s="235" t="s">
        <v>110</v>
      </c>
      <c r="C4202" s="238" t="s">
        <v>109</v>
      </c>
      <c r="D4202" s="241" t="s">
        <v>108</v>
      </c>
      <c r="E4202" s="57"/>
      <c r="F4202" s="56"/>
      <c r="G4202" s="56"/>
      <c r="H4202" s="55"/>
    </row>
    <row r="4203" spans="1:8" ht="18" customHeight="1" x14ac:dyDescent="0.15">
      <c r="A4203" s="233"/>
      <c r="B4203" s="236"/>
      <c r="C4203" s="239"/>
      <c r="D4203" s="242"/>
      <c r="E4203" s="244" t="s">
        <v>107</v>
      </c>
      <c r="F4203" s="254" t="s">
        <v>106</v>
      </c>
      <c r="G4203" s="254" t="s">
        <v>105</v>
      </c>
      <c r="H4203" s="256" t="s">
        <v>104</v>
      </c>
    </row>
    <row r="4204" spans="1:8" ht="18" customHeight="1" thickBot="1" x14ac:dyDescent="0.2">
      <c r="A4204" s="234"/>
      <c r="B4204" s="237"/>
      <c r="C4204" s="240"/>
      <c r="D4204" s="243"/>
      <c r="E4204" s="245"/>
      <c r="F4204" s="255"/>
      <c r="G4204" s="255"/>
      <c r="H4204" s="257"/>
    </row>
    <row r="4205" spans="1:8" ht="15" thickTop="1" x14ac:dyDescent="0.15">
      <c r="A4205" s="54"/>
      <c r="B4205" s="53"/>
      <c r="C4205" s="52"/>
      <c r="D4205" s="51" t="s">
        <v>103</v>
      </c>
      <c r="E4205" s="50" t="s">
        <v>103</v>
      </c>
      <c r="F4205" s="49" t="s">
        <v>103</v>
      </c>
      <c r="G4205" s="49" t="s">
        <v>103</v>
      </c>
      <c r="H4205" s="48" t="s">
        <v>103</v>
      </c>
    </row>
    <row r="4206" spans="1:8" ht="18" customHeight="1" x14ac:dyDescent="0.15">
      <c r="A4206" s="250" t="s">
        <v>102</v>
      </c>
      <c r="B4206" s="47" t="s">
        <v>101</v>
      </c>
      <c r="C4206" s="46">
        <v>3630</v>
      </c>
      <c r="D4206" s="45">
        <v>603788727</v>
      </c>
      <c r="E4206" s="45">
        <v>229600404</v>
      </c>
      <c r="F4206" s="44">
        <v>188277912</v>
      </c>
      <c r="G4206" s="44">
        <v>179363049</v>
      </c>
      <c r="H4206" s="43">
        <v>6547361</v>
      </c>
    </row>
    <row r="4207" spans="1:8" ht="18" customHeight="1" x14ac:dyDescent="0.15">
      <c r="A4207" s="250"/>
      <c r="B4207" s="41" t="s">
        <v>100</v>
      </c>
      <c r="C4207" s="39">
        <v>29</v>
      </c>
      <c r="D4207" s="38">
        <v>282219</v>
      </c>
      <c r="E4207" s="38">
        <v>124017</v>
      </c>
      <c r="F4207" s="37">
        <v>124555</v>
      </c>
      <c r="G4207" s="37">
        <v>33646</v>
      </c>
      <c r="H4207" s="36">
        <v>0</v>
      </c>
    </row>
    <row r="4208" spans="1:8" ht="13.5" x14ac:dyDescent="0.15">
      <c r="A4208" s="250"/>
      <c r="B4208" s="41" t="s">
        <v>99</v>
      </c>
      <c r="C4208" s="39">
        <v>16</v>
      </c>
      <c r="D4208" s="38">
        <v>0</v>
      </c>
      <c r="E4208" s="38">
        <v>0</v>
      </c>
      <c r="F4208" s="37">
        <v>0</v>
      </c>
      <c r="G4208" s="37">
        <v>0</v>
      </c>
      <c r="H4208" s="36">
        <v>0</v>
      </c>
    </row>
    <row r="4209" spans="1:8" ht="18" customHeight="1" x14ac:dyDescent="0.15">
      <c r="A4209" s="250"/>
      <c r="B4209" s="42" t="s">
        <v>98</v>
      </c>
      <c r="C4209" s="34">
        <v>1</v>
      </c>
      <c r="D4209" s="33">
        <v>159704</v>
      </c>
      <c r="E4209" s="33">
        <v>119285</v>
      </c>
      <c r="F4209" s="32">
        <v>9578</v>
      </c>
      <c r="G4209" s="32">
        <v>29220</v>
      </c>
      <c r="H4209" s="31">
        <v>1619</v>
      </c>
    </row>
    <row r="4210" spans="1:8" ht="18" customHeight="1" x14ac:dyDescent="0.15">
      <c r="A4210" s="250"/>
      <c r="B4210" s="41" t="s">
        <v>97</v>
      </c>
      <c r="C4210" s="39">
        <v>53</v>
      </c>
      <c r="D4210" s="38">
        <v>10562340</v>
      </c>
      <c r="E4210" s="38">
        <v>2948068</v>
      </c>
      <c r="F4210" s="37">
        <v>2356998</v>
      </c>
      <c r="G4210" s="37">
        <v>5233722</v>
      </c>
      <c r="H4210" s="36">
        <v>23550</v>
      </c>
    </row>
    <row r="4211" spans="1:8" ht="13.5" x14ac:dyDescent="0.15">
      <c r="A4211" s="250"/>
      <c r="B4211" s="40" t="s">
        <v>96</v>
      </c>
      <c r="C4211" s="39">
        <v>145</v>
      </c>
      <c r="D4211" s="38">
        <v>16205695</v>
      </c>
      <c r="E4211" s="38">
        <v>3367922</v>
      </c>
      <c r="F4211" s="37">
        <v>1661295</v>
      </c>
      <c r="G4211" s="37">
        <v>11041906</v>
      </c>
      <c r="H4211" s="36">
        <v>134571</v>
      </c>
    </row>
    <row r="4212" spans="1:8" ht="18" customHeight="1" x14ac:dyDescent="0.15">
      <c r="A4212" s="251"/>
      <c r="B4212" s="35" t="s">
        <v>95</v>
      </c>
      <c r="C4212" s="34">
        <v>55</v>
      </c>
      <c r="D4212" s="33">
        <v>244407</v>
      </c>
      <c r="E4212" s="33">
        <v>227992</v>
      </c>
      <c r="F4212" s="32">
        <v>5550</v>
      </c>
      <c r="G4212" s="32">
        <v>9258</v>
      </c>
      <c r="H4212" s="31">
        <v>1606</v>
      </c>
    </row>
    <row r="4213" spans="1:8" ht="18" customHeight="1" x14ac:dyDescent="0.15">
      <c r="A4213" s="30" t="s">
        <v>94</v>
      </c>
      <c r="B4213" s="29" t="s">
        <v>93</v>
      </c>
      <c r="C4213" s="28">
        <v>37</v>
      </c>
      <c r="D4213" s="15">
        <v>113269</v>
      </c>
      <c r="E4213" s="15">
        <v>112188</v>
      </c>
      <c r="F4213" s="14">
        <v>922</v>
      </c>
      <c r="G4213" s="14">
        <v>15</v>
      </c>
      <c r="H4213" s="13">
        <v>142</v>
      </c>
    </row>
    <row r="4214" spans="1:8" ht="13.5" x14ac:dyDescent="0.15">
      <c r="A4214" s="252" t="s">
        <v>92</v>
      </c>
      <c r="B4214" s="17" t="s">
        <v>91</v>
      </c>
      <c r="C4214" s="16">
        <v>3000</v>
      </c>
      <c r="D4214" s="27">
        <v>58893874</v>
      </c>
      <c r="E4214" s="27">
        <v>9307872</v>
      </c>
      <c r="F4214" s="26">
        <v>6511930</v>
      </c>
      <c r="G4214" s="26">
        <v>35616232</v>
      </c>
      <c r="H4214" s="25">
        <v>7457838</v>
      </c>
    </row>
    <row r="4215" spans="1:8" ht="18" customHeight="1" x14ac:dyDescent="0.15">
      <c r="A4215" s="250"/>
      <c r="B4215" s="23" t="s">
        <v>90</v>
      </c>
      <c r="C4215" s="22">
        <v>2981</v>
      </c>
      <c r="D4215" s="21">
        <v>14451711</v>
      </c>
      <c r="E4215" s="21">
        <v>693714</v>
      </c>
      <c r="F4215" s="20">
        <v>2898016</v>
      </c>
      <c r="G4215" s="20">
        <v>8928868</v>
      </c>
      <c r="H4215" s="19">
        <v>1931112</v>
      </c>
    </row>
    <row r="4216" spans="1:8" ht="18" customHeight="1" x14ac:dyDescent="0.15">
      <c r="A4216" s="250"/>
      <c r="B4216" s="24" t="s">
        <v>89</v>
      </c>
      <c r="C4216" s="22">
        <v>608</v>
      </c>
      <c r="D4216" s="21">
        <v>35167454</v>
      </c>
      <c r="E4216" s="21">
        <v>2156953</v>
      </c>
      <c r="F4216" s="20">
        <v>5187412</v>
      </c>
      <c r="G4216" s="20">
        <v>21652173</v>
      </c>
      <c r="H4216" s="19">
        <v>6170914</v>
      </c>
    </row>
    <row r="4217" spans="1:8" ht="18" customHeight="1" x14ac:dyDescent="0.15">
      <c r="A4217" s="250"/>
      <c r="B4217" s="23" t="s">
        <v>88</v>
      </c>
      <c r="C4217" s="22">
        <v>1417</v>
      </c>
      <c r="D4217" s="21">
        <v>42680700</v>
      </c>
      <c r="E4217" s="21">
        <v>4038613</v>
      </c>
      <c r="F4217" s="20">
        <v>6544727</v>
      </c>
      <c r="G4217" s="20">
        <v>28561293</v>
      </c>
      <c r="H4217" s="19">
        <v>3536065</v>
      </c>
    </row>
    <row r="4218" spans="1:8" ht="18" customHeight="1" x14ac:dyDescent="0.15">
      <c r="A4218" s="250"/>
      <c r="B4218" s="23" t="s">
        <v>87</v>
      </c>
      <c r="C4218" s="22">
        <v>137</v>
      </c>
      <c r="D4218" s="21">
        <v>3902500</v>
      </c>
      <c r="E4218" s="21">
        <v>46263</v>
      </c>
      <c r="F4218" s="20">
        <v>141946</v>
      </c>
      <c r="G4218" s="20">
        <v>3656243</v>
      </c>
      <c r="H4218" s="19">
        <v>58046</v>
      </c>
    </row>
    <row r="4219" spans="1:8" ht="18" customHeight="1" x14ac:dyDescent="0.15">
      <c r="A4219" s="250"/>
      <c r="B4219" s="23" t="s">
        <v>86</v>
      </c>
      <c r="C4219" s="22">
        <v>94</v>
      </c>
      <c r="D4219" s="21">
        <v>970100</v>
      </c>
      <c r="E4219" s="21">
        <v>224600</v>
      </c>
      <c r="F4219" s="20">
        <v>47200</v>
      </c>
      <c r="G4219" s="20">
        <v>463620</v>
      </c>
      <c r="H4219" s="19">
        <v>234680</v>
      </c>
    </row>
    <row r="4220" spans="1:8" ht="18" customHeight="1" x14ac:dyDescent="0.15">
      <c r="A4220" s="250"/>
      <c r="B4220" s="23" t="s">
        <v>85</v>
      </c>
      <c r="C4220" s="22">
        <v>34</v>
      </c>
      <c r="D4220" s="21">
        <v>286506</v>
      </c>
      <c r="E4220" s="21">
        <v>110903</v>
      </c>
      <c r="F4220" s="20">
        <v>17246</v>
      </c>
      <c r="G4220" s="20">
        <v>101997</v>
      </c>
      <c r="H4220" s="19">
        <v>56359</v>
      </c>
    </row>
    <row r="4221" spans="1:8" ht="18" customHeight="1" x14ac:dyDescent="0.15">
      <c r="A4221" s="250"/>
      <c r="B4221" s="23" t="s">
        <v>84</v>
      </c>
      <c r="C4221" s="22">
        <v>0</v>
      </c>
      <c r="D4221" s="21">
        <v>0</v>
      </c>
      <c r="E4221" s="21">
        <v>0</v>
      </c>
      <c r="F4221" s="20">
        <v>0</v>
      </c>
      <c r="G4221" s="20">
        <v>0</v>
      </c>
      <c r="H4221" s="19">
        <v>0</v>
      </c>
    </row>
    <row r="4222" spans="1:8" ht="18" customHeight="1" x14ac:dyDescent="0.15">
      <c r="A4222" s="250"/>
      <c r="B4222" s="23" t="s">
        <v>83</v>
      </c>
      <c r="C4222" s="22">
        <v>266</v>
      </c>
      <c r="D4222" s="21">
        <v>11269080</v>
      </c>
      <c r="E4222" s="21">
        <v>869370</v>
      </c>
      <c r="F4222" s="20">
        <v>3351200</v>
      </c>
      <c r="G4222" s="20">
        <v>3801900</v>
      </c>
      <c r="H4222" s="19">
        <v>3246610</v>
      </c>
    </row>
    <row r="4223" spans="1:8" ht="18" customHeight="1" x14ac:dyDescent="0.15">
      <c r="A4223" s="250"/>
      <c r="B4223" s="23" t="s">
        <v>82</v>
      </c>
      <c r="C4223" s="22">
        <v>2830</v>
      </c>
      <c r="D4223" s="21">
        <v>57904013</v>
      </c>
      <c r="E4223" s="21">
        <v>12245984</v>
      </c>
      <c r="F4223" s="20">
        <v>7368093</v>
      </c>
      <c r="G4223" s="20">
        <v>32198704</v>
      </c>
      <c r="H4223" s="19">
        <v>6091229</v>
      </c>
    </row>
    <row r="4224" spans="1:8" ht="13.5" x14ac:dyDescent="0.15">
      <c r="A4224" s="250"/>
      <c r="B4224" s="23" t="s">
        <v>81</v>
      </c>
      <c r="C4224" s="22">
        <v>531</v>
      </c>
      <c r="D4224" s="21">
        <v>14307600</v>
      </c>
      <c r="E4224" s="21">
        <v>1718843</v>
      </c>
      <c r="F4224" s="20">
        <v>1344941</v>
      </c>
      <c r="G4224" s="20">
        <v>10052570</v>
      </c>
      <c r="H4224" s="19">
        <v>1191244</v>
      </c>
    </row>
    <row r="4225" spans="1:8" ht="18" customHeight="1" x14ac:dyDescent="0.15">
      <c r="A4225" s="250"/>
      <c r="B4225" s="23" t="s">
        <v>80</v>
      </c>
      <c r="C4225" s="22">
        <v>41349</v>
      </c>
      <c r="D4225" s="21">
        <v>11339723</v>
      </c>
      <c r="E4225" s="21">
        <v>413647</v>
      </c>
      <c r="F4225" s="20">
        <v>6025767</v>
      </c>
      <c r="G4225" s="20">
        <v>4658738</v>
      </c>
      <c r="H4225" s="19">
        <v>241570</v>
      </c>
    </row>
    <row r="4226" spans="1:8" ht="18" customHeight="1" x14ac:dyDescent="0.15">
      <c r="A4226" s="250"/>
      <c r="B4226" s="23" t="s">
        <v>79</v>
      </c>
      <c r="C4226" s="22">
        <v>112</v>
      </c>
      <c r="D4226" s="21">
        <v>1393882</v>
      </c>
      <c r="E4226" s="21">
        <v>5761</v>
      </c>
      <c r="F4226" s="20">
        <v>1090995</v>
      </c>
      <c r="G4226" s="20">
        <v>297126</v>
      </c>
      <c r="H4226" s="19">
        <v>0</v>
      </c>
    </row>
    <row r="4227" spans="1:8" ht="18" customHeight="1" x14ac:dyDescent="0.15">
      <c r="A4227" s="250"/>
      <c r="B4227" s="23" t="s">
        <v>78</v>
      </c>
      <c r="C4227" s="22">
        <v>45</v>
      </c>
      <c r="D4227" s="21">
        <v>655500</v>
      </c>
      <c r="E4227" s="21">
        <v>104161</v>
      </c>
      <c r="F4227" s="20">
        <v>88400</v>
      </c>
      <c r="G4227" s="20">
        <v>379039</v>
      </c>
      <c r="H4227" s="19">
        <v>83900</v>
      </c>
    </row>
    <row r="4228" spans="1:8" ht="18" customHeight="1" x14ac:dyDescent="0.15">
      <c r="A4228" s="250"/>
      <c r="B4228" s="23" t="s">
        <v>77</v>
      </c>
      <c r="C4228" s="22">
        <v>435</v>
      </c>
      <c r="D4228" s="21">
        <v>2268896</v>
      </c>
      <c r="E4228" s="21">
        <v>333400</v>
      </c>
      <c r="F4228" s="20">
        <v>1068565</v>
      </c>
      <c r="G4228" s="20">
        <v>780592</v>
      </c>
      <c r="H4228" s="19">
        <v>86337</v>
      </c>
    </row>
    <row r="4229" spans="1:8" ht="18" customHeight="1" x14ac:dyDescent="0.15">
      <c r="A4229" s="250"/>
      <c r="B4229" s="23" t="s">
        <v>76</v>
      </c>
      <c r="C4229" s="22">
        <v>353</v>
      </c>
      <c r="D4229" s="21">
        <v>9400740</v>
      </c>
      <c r="E4229" s="21">
        <v>910468</v>
      </c>
      <c r="F4229" s="20">
        <v>1780555</v>
      </c>
      <c r="G4229" s="20">
        <v>6119330</v>
      </c>
      <c r="H4229" s="19">
        <v>590387</v>
      </c>
    </row>
    <row r="4230" spans="1:8" ht="13.5" x14ac:dyDescent="0.15">
      <c r="A4230" s="250"/>
      <c r="B4230" s="23" t="s">
        <v>75</v>
      </c>
      <c r="C4230" s="22">
        <v>38</v>
      </c>
      <c r="D4230" s="21">
        <v>1717200</v>
      </c>
      <c r="E4230" s="21">
        <v>167000</v>
      </c>
      <c r="F4230" s="20">
        <v>585400</v>
      </c>
      <c r="G4230" s="20">
        <v>828800</v>
      </c>
      <c r="H4230" s="19">
        <v>136000</v>
      </c>
    </row>
    <row r="4231" spans="1:8" ht="18" customHeight="1" x14ac:dyDescent="0.15">
      <c r="A4231" s="250"/>
      <c r="B4231" s="23" t="s">
        <v>74</v>
      </c>
      <c r="C4231" s="22">
        <v>0</v>
      </c>
      <c r="D4231" s="21">
        <v>0</v>
      </c>
      <c r="E4231" s="21">
        <v>0</v>
      </c>
      <c r="F4231" s="20">
        <v>0</v>
      </c>
      <c r="G4231" s="20">
        <v>0</v>
      </c>
      <c r="H4231" s="19">
        <v>0</v>
      </c>
    </row>
    <row r="4232" spans="1:8" ht="18" customHeight="1" x14ac:dyDescent="0.15">
      <c r="A4232" s="250"/>
      <c r="B4232" s="23" t="s">
        <v>73</v>
      </c>
      <c r="C4232" s="22">
        <v>13</v>
      </c>
      <c r="D4232" s="21">
        <v>421300</v>
      </c>
      <c r="E4232" s="21">
        <v>200</v>
      </c>
      <c r="F4232" s="20">
        <v>132800</v>
      </c>
      <c r="G4232" s="20">
        <v>286200</v>
      </c>
      <c r="H4232" s="19">
        <v>2100</v>
      </c>
    </row>
    <row r="4233" spans="1:8" ht="18" customHeight="1" x14ac:dyDescent="0.15">
      <c r="A4233" s="250"/>
      <c r="B4233" s="23" t="s">
        <v>72</v>
      </c>
      <c r="C4233" s="22">
        <v>1</v>
      </c>
      <c r="D4233" s="21">
        <v>3000</v>
      </c>
      <c r="E4233" s="21">
        <v>700</v>
      </c>
      <c r="F4233" s="20">
        <v>500</v>
      </c>
      <c r="G4233" s="20">
        <v>1000</v>
      </c>
      <c r="H4233" s="19">
        <v>800</v>
      </c>
    </row>
    <row r="4234" spans="1:8" ht="18" customHeight="1" x14ac:dyDescent="0.15">
      <c r="A4234" s="251"/>
      <c r="B4234" s="23" t="s">
        <v>71</v>
      </c>
      <c r="C4234" s="22">
        <v>11</v>
      </c>
      <c r="D4234" s="21">
        <v>6941</v>
      </c>
      <c r="E4234" s="21">
        <v>541</v>
      </c>
      <c r="F4234" s="20">
        <v>0</v>
      </c>
      <c r="G4234" s="20">
        <v>5900</v>
      </c>
      <c r="H4234" s="19">
        <v>500</v>
      </c>
    </row>
    <row r="4235" spans="1:8" ht="18" customHeight="1" x14ac:dyDescent="0.15">
      <c r="A4235" s="18" t="s">
        <v>70</v>
      </c>
      <c r="B4235" s="17" t="s">
        <v>69</v>
      </c>
      <c r="C4235" s="16">
        <v>4289</v>
      </c>
      <c r="D4235" s="15">
        <v>16401184</v>
      </c>
      <c r="E4235" s="15">
        <v>1092050</v>
      </c>
      <c r="F4235" s="14">
        <v>3991431</v>
      </c>
      <c r="G4235" s="14">
        <v>9457793</v>
      </c>
      <c r="H4235" s="13">
        <v>1859910</v>
      </c>
    </row>
    <row r="4236" spans="1:8" ht="13.5" x14ac:dyDescent="0.15">
      <c r="A4236" s="252" t="s">
        <v>68</v>
      </c>
      <c r="B4236" s="12" t="s">
        <v>67</v>
      </c>
      <c r="C4236" s="11">
        <v>5697</v>
      </c>
      <c r="D4236" s="10">
        <v>81700764</v>
      </c>
      <c r="E4236" s="10">
        <v>50013313</v>
      </c>
      <c r="F4236" s="9">
        <v>14024813</v>
      </c>
      <c r="G4236" s="9">
        <v>11394810</v>
      </c>
      <c r="H4236" s="8">
        <v>6267827</v>
      </c>
    </row>
    <row r="4237" spans="1:8" ht="18" customHeight="1" thickBot="1" x14ac:dyDescent="0.2">
      <c r="A4237" s="253"/>
      <c r="B4237" s="7" t="s">
        <v>66</v>
      </c>
      <c r="C4237" s="6">
        <v>3967</v>
      </c>
      <c r="D4237" s="5" t="s">
        <v>65</v>
      </c>
      <c r="E4237" s="5" t="s">
        <v>54</v>
      </c>
      <c r="F4237" s="5" t="s">
        <v>54</v>
      </c>
      <c r="G4237" s="5" t="s">
        <v>54</v>
      </c>
      <c r="H4237" s="4" t="s">
        <v>54</v>
      </c>
    </row>
    <row r="4238" spans="1:8" ht="18" customHeight="1" x14ac:dyDescent="0.15">
      <c r="A4238" s="3" t="s">
        <v>146</v>
      </c>
      <c r="B4238" s="2"/>
      <c r="C4238" s="2"/>
      <c r="D4238" s="2"/>
      <c r="E4238" s="2"/>
      <c r="F4238" s="2"/>
      <c r="G4238" s="2"/>
      <c r="H4238" s="2"/>
    </row>
    <row r="4239" spans="1:8" ht="24" x14ac:dyDescent="0.15">
      <c r="A4239" s="230" t="s">
        <v>145</v>
      </c>
      <c r="B4239" s="230"/>
      <c r="C4239" s="230"/>
      <c r="D4239" s="230"/>
      <c r="E4239" s="230"/>
      <c r="F4239" s="230"/>
      <c r="G4239" s="230"/>
      <c r="H4239" s="230"/>
    </row>
    <row r="4240" spans="1:8" ht="18" customHeight="1" x14ac:dyDescent="0.15">
      <c r="A4240" s="231"/>
      <c r="B4240" s="231"/>
      <c r="C4240" s="231"/>
      <c r="D4240" s="231"/>
      <c r="E4240" s="231"/>
      <c r="F4240" s="231"/>
      <c r="G4240" s="231"/>
      <c r="H4240" s="231"/>
    </row>
    <row r="4241" spans="1:8" ht="18" customHeight="1" thickBot="1" x14ac:dyDescent="0.2">
      <c r="A4241" s="58" t="s">
        <v>62</v>
      </c>
    </row>
    <row r="4242" spans="1:8" ht="14.25" x14ac:dyDescent="0.15">
      <c r="A4242" s="232" t="s">
        <v>61</v>
      </c>
      <c r="B4242" s="235" t="s">
        <v>110</v>
      </c>
      <c r="C4242" s="238" t="s">
        <v>109</v>
      </c>
      <c r="D4242" s="241" t="s">
        <v>108</v>
      </c>
      <c r="E4242" s="57"/>
      <c r="F4242" s="56"/>
      <c r="G4242" s="56"/>
      <c r="H4242" s="55"/>
    </row>
    <row r="4243" spans="1:8" ht="18" customHeight="1" x14ac:dyDescent="0.15">
      <c r="A4243" s="233"/>
      <c r="B4243" s="236"/>
      <c r="C4243" s="239"/>
      <c r="D4243" s="242"/>
      <c r="E4243" s="244" t="s">
        <v>107</v>
      </c>
      <c r="F4243" s="254" t="s">
        <v>106</v>
      </c>
      <c r="G4243" s="254" t="s">
        <v>105</v>
      </c>
      <c r="H4243" s="256" t="s">
        <v>104</v>
      </c>
    </row>
    <row r="4244" spans="1:8" ht="18" customHeight="1" thickBot="1" x14ac:dyDescent="0.2">
      <c r="A4244" s="234"/>
      <c r="B4244" s="237"/>
      <c r="C4244" s="240"/>
      <c r="D4244" s="243"/>
      <c r="E4244" s="245"/>
      <c r="F4244" s="255"/>
      <c r="G4244" s="255"/>
      <c r="H4244" s="257"/>
    </row>
    <row r="4245" spans="1:8" ht="15" thickTop="1" x14ac:dyDescent="0.15">
      <c r="A4245" s="54"/>
      <c r="B4245" s="53"/>
      <c r="C4245" s="52"/>
      <c r="D4245" s="51" t="s">
        <v>103</v>
      </c>
      <c r="E4245" s="50" t="s">
        <v>103</v>
      </c>
      <c r="F4245" s="49" t="s">
        <v>103</v>
      </c>
      <c r="G4245" s="49" t="s">
        <v>103</v>
      </c>
      <c r="H4245" s="48" t="s">
        <v>103</v>
      </c>
    </row>
    <row r="4246" spans="1:8" ht="18" customHeight="1" x14ac:dyDescent="0.15">
      <c r="A4246" s="250" t="s">
        <v>102</v>
      </c>
      <c r="B4246" s="47" t="s">
        <v>101</v>
      </c>
      <c r="C4246" s="46">
        <v>3619</v>
      </c>
      <c r="D4246" s="45">
        <v>616145255</v>
      </c>
      <c r="E4246" s="45">
        <v>234676460</v>
      </c>
      <c r="F4246" s="44">
        <v>193016840</v>
      </c>
      <c r="G4246" s="44">
        <v>181835272</v>
      </c>
      <c r="H4246" s="43">
        <v>6616681</v>
      </c>
    </row>
    <row r="4247" spans="1:8" ht="18" customHeight="1" x14ac:dyDescent="0.15">
      <c r="A4247" s="250"/>
      <c r="B4247" s="41" t="s">
        <v>100</v>
      </c>
      <c r="C4247" s="39">
        <v>27</v>
      </c>
      <c r="D4247" s="38">
        <v>262424</v>
      </c>
      <c r="E4247" s="38">
        <v>104082</v>
      </c>
      <c r="F4247" s="37">
        <v>121334</v>
      </c>
      <c r="G4247" s="37">
        <v>34294</v>
      </c>
      <c r="H4247" s="36">
        <v>2712</v>
      </c>
    </row>
    <row r="4248" spans="1:8" ht="13.5" x14ac:dyDescent="0.15">
      <c r="A4248" s="250"/>
      <c r="B4248" s="41" t="s">
        <v>99</v>
      </c>
      <c r="C4248" s="39">
        <v>16</v>
      </c>
      <c r="D4248" s="38">
        <v>0</v>
      </c>
      <c r="E4248" s="38">
        <v>0</v>
      </c>
      <c r="F4248" s="37">
        <v>0</v>
      </c>
      <c r="G4248" s="37">
        <v>0</v>
      </c>
      <c r="H4248" s="36">
        <v>0</v>
      </c>
    </row>
    <row r="4249" spans="1:8" ht="18" customHeight="1" x14ac:dyDescent="0.15">
      <c r="A4249" s="250"/>
      <c r="B4249" s="42" t="s">
        <v>98</v>
      </c>
      <c r="C4249" s="34">
        <v>1</v>
      </c>
      <c r="D4249" s="33">
        <v>159349</v>
      </c>
      <c r="E4249" s="33">
        <v>119021</v>
      </c>
      <c r="F4249" s="32">
        <v>9570</v>
      </c>
      <c r="G4249" s="32">
        <v>29149</v>
      </c>
      <c r="H4249" s="31">
        <v>1608</v>
      </c>
    </row>
    <row r="4250" spans="1:8" ht="18" customHeight="1" x14ac:dyDescent="0.15">
      <c r="A4250" s="250"/>
      <c r="B4250" s="41" t="s">
        <v>97</v>
      </c>
      <c r="C4250" s="39">
        <v>53</v>
      </c>
      <c r="D4250" s="38">
        <v>10560242</v>
      </c>
      <c r="E4250" s="38">
        <v>2967021</v>
      </c>
      <c r="F4250" s="37">
        <v>2386216</v>
      </c>
      <c r="G4250" s="37">
        <v>5186273</v>
      </c>
      <c r="H4250" s="36">
        <v>20731</v>
      </c>
    </row>
    <row r="4251" spans="1:8" ht="13.5" x14ac:dyDescent="0.15">
      <c r="A4251" s="250"/>
      <c r="B4251" s="40" t="s">
        <v>96</v>
      </c>
      <c r="C4251" s="39">
        <v>145</v>
      </c>
      <c r="D4251" s="38">
        <v>16068207</v>
      </c>
      <c r="E4251" s="38">
        <v>3496597</v>
      </c>
      <c r="F4251" s="37">
        <v>1602825</v>
      </c>
      <c r="G4251" s="37">
        <v>10849420</v>
      </c>
      <c r="H4251" s="36">
        <v>119364</v>
      </c>
    </row>
    <row r="4252" spans="1:8" ht="18" customHeight="1" x14ac:dyDescent="0.15">
      <c r="A4252" s="251"/>
      <c r="B4252" s="35" t="s">
        <v>95</v>
      </c>
      <c r="C4252" s="34">
        <v>55</v>
      </c>
      <c r="D4252" s="33">
        <v>235420</v>
      </c>
      <c r="E4252" s="33">
        <v>218029</v>
      </c>
      <c r="F4252" s="32">
        <v>6559</v>
      </c>
      <c r="G4252" s="32">
        <v>8927</v>
      </c>
      <c r="H4252" s="31">
        <v>1904</v>
      </c>
    </row>
    <row r="4253" spans="1:8" ht="18" customHeight="1" x14ac:dyDescent="0.15">
      <c r="A4253" s="30" t="s">
        <v>94</v>
      </c>
      <c r="B4253" s="29" t="s">
        <v>93</v>
      </c>
      <c r="C4253" s="28">
        <v>37</v>
      </c>
      <c r="D4253" s="15">
        <v>114823</v>
      </c>
      <c r="E4253" s="15">
        <v>113763</v>
      </c>
      <c r="F4253" s="14">
        <v>974</v>
      </c>
      <c r="G4253" s="14">
        <v>6</v>
      </c>
      <c r="H4253" s="13">
        <v>78</v>
      </c>
    </row>
    <row r="4254" spans="1:8" ht="13.5" x14ac:dyDescent="0.15">
      <c r="A4254" s="252" t="s">
        <v>92</v>
      </c>
      <c r="B4254" s="17" t="s">
        <v>91</v>
      </c>
      <c r="C4254" s="16">
        <v>2986</v>
      </c>
      <c r="D4254" s="27">
        <v>59066037</v>
      </c>
      <c r="E4254" s="27">
        <v>9333507</v>
      </c>
      <c r="F4254" s="26">
        <v>6449805</v>
      </c>
      <c r="G4254" s="26">
        <v>35864385</v>
      </c>
      <c r="H4254" s="25">
        <v>7418339</v>
      </c>
    </row>
    <row r="4255" spans="1:8" ht="18" customHeight="1" x14ac:dyDescent="0.15">
      <c r="A4255" s="250"/>
      <c r="B4255" s="23" t="s">
        <v>90</v>
      </c>
      <c r="C4255" s="22">
        <v>2984</v>
      </c>
      <c r="D4255" s="21">
        <v>14469029</v>
      </c>
      <c r="E4255" s="21">
        <v>686987</v>
      </c>
      <c r="F4255" s="20">
        <v>2828311</v>
      </c>
      <c r="G4255" s="20">
        <v>8996110</v>
      </c>
      <c r="H4255" s="19">
        <v>1957620</v>
      </c>
    </row>
    <row r="4256" spans="1:8" ht="18" customHeight="1" x14ac:dyDescent="0.15">
      <c r="A4256" s="250"/>
      <c r="B4256" s="24" t="s">
        <v>89</v>
      </c>
      <c r="C4256" s="22">
        <v>610</v>
      </c>
      <c r="D4256" s="21">
        <v>35297142</v>
      </c>
      <c r="E4256" s="21">
        <v>2200825</v>
      </c>
      <c r="F4256" s="20">
        <v>5194568</v>
      </c>
      <c r="G4256" s="20">
        <v>21736111</v>
      </c>
      <c r="H4256" s="19">
        <v>6165637</v>
      </c>
    </row>
    <row r="4257" spans="1:8" ht="18" customHeight="1" x14ac:dyDescent="0.15">
      <c r="A4257" s="250"/>
      <c r="B4257" s="23" t="s">
        <v>88</v>
      </c>
      <c r="C4257" s="22">
        <v>1421</v>
      </c>
      <c r="D4257" s="21">
        <v>42748400</v>
      </c>
      <c r="E4257" s="21">
        <v>4046819</v>
      </c>
      <c r="F4257" s="20">
        <v>6571517</v>
      </c>
      <c r="G4257" s="20">
        <v>28574517</v>
      </c>
      <c r="H4257" s="19">
        <v>3555545</v>
      </c>
    </row>
    <row r="4258" spans="1:8" ht="18" customHeight="1" x14ac:dyDescent="0.15">
      <c r="A4258" s="250"/>
      <c r="B4258" s="23" t="s">
        <v>87</v>
      </c>
      <c r="C4258" s="22">
        <v>135</v>
      </c>
      <c r="D4258" s="21">
        <v>3898900</v>
      </c>
      <c r="E4258" s="21">
        <v>53551</v>
      </c>
      <c r="F4258" s="20">
        <v>149211</v>
      </c>
      <c r="G4258" s="20">
        <v>3631871</v>
      </c>
      <c r="H4258" s="19">
        <v>64265</v>
      </c>
    </row>
    <row r="4259" spans="1:8" ht="18" customHeight="1" x14ac:dyDescent="0.15">
      <c r="A4259" s="250"/>
      <c r="B4259" s="23" t="s">
        <v>86</v>
      </c>
      <c r="C4259" s="22">
        <v>95</v>
      </c>
      <c r="D4259" s="21">
        <v>1001100</v>
      </c>
      <c r="E4259" s="21">
        <v>228080</v>
      </c>
      <c r="F4259" s="20">
        <v>46300</v>
      </c>
      <c r="G4259" s="20">
        <v>495800</v>
      </c>
      <c r="H4259" s="19">
        <v>230920</v>
      </c>
    </row>
    <row r="4260" spans="1:8" ht="18" customHeight="1" x14ac:dyDescent="0.15">
      <c r="A4260" s="250"/>
      <c r="B4260" s="23" t="s">
        <v>85</v>
      </c>
      <c r="C4260" s="22">
        <v>34</v>
      </c>
      <c r="D4260" s="21">
        <v>286506</v>
      </c>
      <c r="E4260" s="21">
        <v>110953</v>
      </c>
      <c r="F4260" s="20">
        <v>17246</v>
      </c>
      <c r="G4260" s="20">
        <v>101947</v>
      </c>
      <c r="H4260" s="19">
        <v>56359</v>
      </c>
    </row>
    <row r="4261" spans="1:8" ht="18" customHeight="1" x14ac:dyDescent="0.15">
      <c r="A4261" s="250"/>
      <c r="B4261" s="23" t="s">
        <v>84</v>
      </c>
      <c r="C4261" s="22">
        <v>0</v>
      </c>
      <c r="D4261" s="21">
        <v>0</v>
      </c>
      <c r="E4261" s="21">
        <v>0</v>
      </c>
      <c r="F4261" s="20">
        <v>0</v>
      </c>
      <c r="G4261" s="20">
        <v>0</v>
      </c>
      <c r="H4261" s="19">
        <v>0</v>
      </c>
    </row>
    <row r="4262" spans="1:8" ht="18" customHeight="1" x14ac:dyDescent="0.15">
      <c r="A4262" s="250"/>
      <c r="B4262" s="23" t="s">
        <v>83</v>
      </c>
      <c r="C4262" s="22">
        <v>267</v>
      </c>
      <c r="D4262" s="21">
        <v>11295450</v>
      </c>
      <c r="E4262" s="21">
        <v>880230</v>
      </c>
      <c r="F4262" s="20">
        <v>3352700</v>
      </c>
      <c r="G4262" s="20">
        <v>3779680</v>
      </c>
      <c r="H4262" s="19">
        <v>3282840</v>
      </c>
    </row>
    <row r="4263" spans="1:8" ht="18" customHeight="1" x14ac:dyDescent="0.15">
      <c r="A4263" s="250"/>
      <c r="B4263" s="23" t="s">
        <v>82</v>
      </c>
      <c r="C4263" s="22">
        <v>2848</v>
      </c>
      <c r="D4263" s="21">
        <v>58038656</v>
      </c>
      <c r="E4263" s="21">
        <v>11991553</v>
      </c>
      <c r="F4263" s="20">
        <v>7443274</v>
      </c>
      <c r="G4263" s="20">
        <v>32509258</v>
      </c>
      <c r="H4263" s="19">
        <v>6094569</v>
      </c>
    </row>
    <row r="4264" spans="1:8" ht="13.5" x14ac:dyDescent="0.15">
      <c r="A4264" s="250"/>
      <c r="B4264" s="23" t="s">
        <v>81</v>
      </c>
      <c r="C4264" s="22">
        <v>537</v>
      </c>
      <c r="D4264" s="21">
        <v>14542160</v>
      </c>
      <c r="E4264" s="21">
        <v>1722194</v>
      </c>
      <c r="F4264" s="20">
        <v>1364674</v>
      </c>
      <c r="G4264" s="20">
        <v>10261625</v>
      </c>
      <c r="H4264" s="19">
        <v>1193665</v>
      </c>
    </row>
    <row r="4265" spans="1:8" ht="18" customHeight="1" x14ac:dyDescent="0.15">
      <c r="A4265" s="250"/>
      <c r="B4265" s="23" t="s">
        <v>80</v>
      </c>
      <c r="C4265" s="22">
        <v>41285</v>
      </c>
      <c r="D4265" s="21">
        <v>11305441</v>
      </c>
      <c r="E4265" s="21">
        <v>409747</v>
      </c>
      <c r="F4265" s="20">
        <v>6047805</v>
      </c>
      <c r="G4265" s="20">
        <v>4613518</v>
      </c>
      <c r="H4265" s="19">
        <v>234370</v>
      </c>
    </row>
    <row r="4266" spans="1:8" ht="18" customHeight="1" x14ac:dyDescent="0.15">
      <c r="A4266" s="250"/>
      <c r="B4266" s="23" t="s">
        <v>79</v>
      </c>
      <c r="C4266" s="22">
        <v>116</v>
      </c>
      <c r="D4266" s="21">
        <v>1401182</v>
      </c>
      <c r="E4266" s="21">
        <v>5761</v>
      </c>
      <c r="F4266" s="20">
        <v>1098295</v>
      </c>
      <c r="G4266" s="20">
        <v>297126</v>
      </c>
      <c r="H4266" s="19">
        <v>0</v>
      </c>
    </row>
    <row r="4267" spans="1:8" ht="18" customHeight="1" x14ac:dyDescent="0.15">
      <c r="A4267" s="250"/>
      <c r="B4267" s="23" t="s">
        <v>78</v>
      </c>
      <c r="C4267" s="22">
        <v>45</v>
      </c>
      <c r="D4267" s="21">
        <v>655500</v>
      </c>
      <c r="E4267" s="21">
        <v>103961</v>
      </c>
      <c r="F4267" s="20">
        <v>87900</v>
      </c>
      <c r="G4267" s="20">
        <v>379039</v>
      </c>
      <c r="H4267" s="19">
        <v>84600</v>
      </c>
    </row>
    <row r="4268" spans="1:8" ht="18" customHeight="1" x14ac:dyDescent="0.15">
      <c r="A4268" s="250"/>
      <c r="B4268" s="23" t="s">
        <v>77</v>
      </c>
      <c r="C4268" s="22">
        <v>426</v>
      </c>
      <c r="D4268" s="21">
        <v>2267861</v>
      </c>
      <c r="E4268" s="21">
        <v>319216</v>
      </c>
      <c r="F4268" s="20">
        <v>1078638</v>
      </c>
      <c r="G4268" s="20">
        <v>791598</v>
      </c>
      <c r="H4268" s="19">
        <v>78407</v>
      </c>
    </row>
    <row r="4269" spans="1:8" ht="18" customHeight="1" x14ac:dyDescent="0.15">
      <c r="A4269" s="250"/>
      <c r="B4269" s="23" t="s">
        <v>76</v>
      </c>
      <c r="C4269" s="22">
        <v>349</v>
      </c>
      <c r="D4269" s="21">
        <v>9392588</v>
      </c>
      <c r="E4269" s="21">
        <v>907579</v>
      </c>
      <c r="F4269" s="20">
        <v>1784388</v>
      </c>
      <c r="G4269" s="20">
        <v>6112033</v>
      </c>
      <c r="H4269" s="19">
        <v>588587</v>
      </c>
    </row>
    <row r="4270" spans="1:8" ht="13.5" x14ac:dyDescent="0.15">
      <c r="A4270" s="250"/>
      <c r="B4270" s="23" t="s">
        <v>75</v>
      </c>
      <c r="C4270" s="22">
        <v>40</v>
      </c>
      <c r="D4270" s="21">
        <v>1893100</v>
      </c>
      <c r="E4270" s="21">
        <v>175900</v>
      </c>
      <c r="F4270" s="20">
        <v>689100</v>
      </c>
      <c r="G4270" s="20">
        <v>889000</v>
      </c>
      <c r="H4270" s="19">
        <v>139100</v>
      </c>
    </row>
    <row r="4271" spans="1:8" ht="18" customHeight="1" x14ac:dyDescent="0.15">
      <c r="A4271" s="250"/>
      <c r="B4271" s="23" t="s">
        <v>74</v>
      </c>
      <c r="C4271" s="22">
        <v>0</v>
      </c>
      <c r="D4271" s="21">
        <v>0</v>
      </c>
      <c r="E4271" s="21">
        <v>0</v>
      </c>
      <c r="F4271" s="20">
        <v>0</v>
      </c>
      <c r="G4271" s="20">
        <v>0</v>
      </c>
      <c r="H4271" s="19">
        <v>0</v>
      </c>
    </row>
    <row r="4272" spans="1:8" ht="18" customHeight="1" x14ac:dyDescent="0.15">
      <c r="A4272" s="250"/>
      <c r="B4272" s="23" t="s">
        <v>73</v>
      </c>
      <c r="C4272" s="22">
        <v>13</v>
      </c>
      <c r="D4272" s="21">
        <v>421300</v>
      </c>
      <c r="E4272" s="21">
        <v>200</v>
      </c>
      <c r="F4272" s="20">
        <v>132800</v>
      </c>
      <c r="G4272" s="20">
        <v>286200</v>
      </c>
      <c r="H4272" s="19">
        <v>2100</v>
      </c>
    </row>
    <row r="4273" spans="1:8" ht="18" customHeight="1" x14ac:dyDescent="0.15">
      <c r="A4273" s="250"/>
      <c r="B4273" s="23" t="s">
        <v>72</v>
      </c>
      <c r="C4273" s="22">
        <v>1</v>
      </c>
      <c r="D4273" s="21">
        <v>3000</v>
      </c>
      <c r="E4273" s="21">
        <v>100</v>
      </c>
      <c r="F4273" s="20">
        <v>500</v>
      </c>
      <c r="G4273" s="20">
        <v>1000</v>
      </c>
      <c r="H4273" s="19">
        <v>1400</v>
      </c>
    </row>
    <row r="4274" spans="1:8" ht="18" customHeight="1" x14ac:dyDescent="0.15">
      <c r="A4274" s="251"/>
      <c r="B4274" s="23" t="s">
        <v>71</v>
      </c>
      <c r="C4274" s="22">
        <v>11</v>
      </c>
      <c r="D4274" s="21">
        <v>6941</v>
      </c>
      <c r="E4274" s="21">
        <v>541</v>
      </c>
      <c r="F4274" s="20">
        <v>0</v>
      </c>
      <c r="G4274" s="20">
        <v>5900</v>
      </c>
      <c r="H4274" s="19">
        <v>500</v>
      </c>
    </row>
    <row r="4275" spans="1:8" ht="18" customHeight="1" x14ac:dyDescent="0.15">
      <c r="A4275" s="18" t="s">
        <v>70</v>
      </c>
      <c r="B4275" s="17" t="s">
        <v>69</v>
      </c>
      <c r="C4275" s="16">
        <v>4043</v>
      </c>
      <c r="D4275" s="15">
        <v>15518658</v>
      </c>
      <c r="E4275" s="15">
        <v>1294350</v>
      </c>
      <c r="F4275" s="14">
        <v>3839760</v>
      </c>
      <c r="G4275" s="14">
        <v>8246258</v>
      </c>
      <c r="H4275" s="13">
        <v>2138290</v>
      </c>
    </row>
    <row r="4276" spans="1:8" ht="13.5" x14ac:dyDescent="0.15">
      <c r="A4276" s="252" t="s">
        <v>68</v>
      </c>
      <c r="B4276" s="12" t="s">
        <v>67</v>
      </c>
      <c r="C4276" s="11">
        <v>5627</v>
      </c>
      <c r="D4276" s="10">
        <v>83138616</v>
      </c>
      <c r="E4276" s="10">
        <v>50950370</v>
      </c>
      <c r="F4276" s="9">
        <v>14330992</v>
      </c>
      <c r="G4276" s="9">
        <v>11532422</v>
      </c>
      <c r="H4276" s="8">
        <v>6324831</v>
      </c>
    </row>
    <row r="4277" spans="1:8" ht="18" customHeight="1" thickBot="1" x14ac:dyDescent="0.2">
      <c r="A4277" s="253"/>
      <c r="B4277" s="7" t="s">
        <v>66</v>
      </c>
      <c r="C4277" s="6">
        <v>3925</v>
      </c>
      <c r="D4277" s="5" t="s">
        <v>54</v>
      </c>
      <c r="E4277" s="5" t="s">
        <v>54</v>
      </c>
      <c r="F4277" s="5" t="s">
        <v>54</v>
      </c>
      <c r="G4277" s="5" t="s">
        <v>54</v>
      </c>
      <c r="H4277" s="4" t="s">
        <v>54</v>
      </c>
    </row>
    <row r="4278" spans="1:8" ht="18" customHeight="1" x14ac:dyDescent="0.15">
      <c r="A4278" s="3" t="s">
        <v>144</v>
      </c>
      <c r="B4278" s="2"/>
      <c r="C4278" s="2"/>
      <c r="D4278" s="2"/>
      <c r="E4278" s="2"/>
      <c r="F4278" s="2"/>
      <c r="G4278" s="2"/>
      <c r="H4278" s="2"/>
    </row>
    <row r="4279" spans="1:8" ht="24" x14ac:dyDescent="0.15">
      <c r="A4279" s="230" t="s">
        <v>143</v>
      </c>
      <c r="B4279" s="230"/>
      <c r="C4279" s="230"/>
      <c r="D4279" s="230"/>
      <c r="E4279" s="230"/>
      <c r="F4279" s="230"/>
      <c r="G4279" s="230"/>
      <c r="H4279" s="230"/>
    </row>
    <row r="4280" spans="1:8" ht="18" customHeight="1" x14ac:dyDescent="0.15">
      <c r="A4280" s="231"/>
      <c r="B4280" s="231"/>
      <c r="C4280" s="231"/>
      <c r="D4280" s="231"/>
      <c r="E4280" s="231"/>
      <c r="F4280" s="231"/>
      <c r="G4280" s="231"/>
      <c r="H4280" s="231"/>
    </row>
    <row r="4281" spans="1:8" ht="18" customHeight="1" thickBot="1" x14ac:dyDescent="0.2">
      <c r="A4281" s="58" t="s">
        <v>62</v>
      </c>
    </row>
    <row r="4282" spans="1:8" ht="14.25" x14ac:dyDescent="0.15">
      <c r="A4282" s="232" t="s">
        <v>61</v>
      </c>
      <c r="B4282" s="235" t="s">
        <v>110</v>
      </c>
      <c r="C4282" s="238" t="s">
        <v>109</v>
      </c>
      <c r="D4282" s="241" t="s">
        <v>108</v>
      </c>
      <c r="E4282" s="57"/>
      <c r="F4282" s="56"/>
      <c r="G4282" s="56"/>
      <c r="H4282" s="55"/>
    </row>
    <row r="4283" spans="1:8" ht="18" customHeight="1" x14ac:dyDescent="0.15">
      <c r="A4283" s="233"/>
      <c r="B4283" s="236"/>
      <c r="C4283" s="239"/>
      <c r="D4283" s="242"/>
      <c r="E4283" s="244" t="s">
        <v>107</v>
      </c>
      <c r="F4283" s="254" t="s">
        <v>106</v>
      </c>
      <c r="G4283" s="254" t="s">
        <v>105</v>
      </c>
      <c r="H4283" s="256" t="s">
        <v>104</v>
      </c>
    </row>
    <row r="4284" spans="1:8" ht="18" customHeight="1" thickBot="1" x14ac:dyDescent="0.2">
      <c r="A4284" s="234"/>
      <c r="B4284" s="237"/>
      <c r="C4284" s="240"/>
      <c r="D4284" s="243"/>
      <c r="E4284" s="245"/>
      <c r="F4284" s="255"/>
      <c r="G4284" s="255"/>
      <c r="H4284" s="257"/>
    </row>
    <row r="4285" spans="1:8" ht="15" thickTop="1" x14ac:dyDescent="0.15">
      <c r="A4285" s="54"/>
      <c r="B4285" s="53"/>
      <c r="C4285" s="52"/>
      <c r="D4285" s="51" t="s">
        <v>103</v>
      </c>
      <c r="E4285" s="50" t="s">
        <v>103</v>
      </c>
      <c r="F4285" s="49" t="s">
        <v>103</v>
      </c>
      <c r="G4285" s="49" t="s">
        <v>103</v>
      </c>
      <c r="H4285" s="48" t="s">
        <v>103</v>
      </c>
    </row>
    <row r="4286" spans="1:8" ht="18" customHeight="1" x14ac:dyDescent="0.15">
      <c r="A4286" s="250" t="s">
        <v>102</v>
      </c>
      <c r="B4286" s="47" t="s">
        <v>101</v>
      </c>
      <c r="C4286" s="46">
        <v>3614</v>
      </c>
      <c r="D4286" s="45">
        <v>588313261</v>
      </c>
      <c r="E4286" s="45">
        <v>214041606</v>
      </c>
      <c r="F4286" s="44">
        <v>188956732</v>
      </c>
      <c r="G4286" s="44">
        <v>178422561</v>
      </c>
      <c r="H4286" s="43">
        <v>6892360</v>
      </c>
    </row>
    <row r="4287" spans="1:8" ht="18" customHeight="1" x14ac:dyDescent="0.15">
      <c r="A4287" s="250"/>
      <c r="B4287" s="41" t="s">
        <v>100</v>
      </c>
      <c r="C4287" s="39">
        <v>27</v>
      </c>
      <c r="D4287" s="38">
        <v>266113</v>
      </c>
      <c r="E4287" s="38">
        <v>113293</v>
      </c>
      <c r="F4287" s="37">
        <v>118149</v>
      </c>
      <c r="G4287" s="37">
        <v>34670</v>
      </c>
      <c r="H4287" s="36">
        <v>0</v>
      </c>
    </row>
    <row r="4288" spans="1:8" ht="13.5" x14ac:dyDescent="0.15">
      <c r="A4288" s="250"/>
      <c r="B4288" s="41" t="s">
        <v>99</v>
      </c>
      <c r="C4288" s="39">
        <v>17</v>
      </c>
      <c r="D4288" s="38">
        <v>0</v>
      </c>
      <c r="E4288" s="38">
        <v>0</v>
      </c>
      <c r="F4288" s="37">
        <v>0</v>
      </c>
      <c r="G4288" s="37">
        <v>0</v>
      </c>
      <c r="H4288" s="36">
        <v>0</v>
      </c>
    </row>
    <row r="4289" spans="1:8" ht="18" customHeight="1" x14ac:dyDescent="0.15">
      <c r="A4289" s="250"/>
      <c r="B4289" s="42" t="s">
        <v>98</v>
      </c>
      <c r="C4289" s="34">
        <v>1</v>
      </c>
      <c r="D4289" s="33">
        <v>158783</v>
      </c>
      <c r="E4289" s="33">
        <v>118646</v>
      </c>
      <c r="F4289" s="32">
        <v>9491</v>
      </c>
      <c r="G4289" s="32">
        <v>29045</v>
      </c>
      <c r="H4289" s="31">
        <v>1599</v>
      </c>
    </row>
    <row r="4290" spans="1:8" ht="18" customHeight="1" x14ac:dyDescent="0.15">
      <c r="A4290" s="250"/>
      <c r="B4290" s="41" t="s">
        <v>97</v>
      </c>
      <c r="C4290" s="39">
        <v>52</v>
      </c>
      <c r="D4290" s="38">
        <v>10235238</v>
      </c>
      <c r="E4290" s="38">
        <v>2870675</v>
      </c>
      <c r="F4290" s="37">
        <v>2350095</v>
      </c>
      <c r="G4290" s="37">
        <v>4994318</v>
      </c>
      <c r="H4290" s="36">
        <v>20148</v>
      </c>
    </row>
    <row r="4291" spans="1:8" ht="13.5" x14ac:dyDescent="0.15">
      <c r="A4291" s="250"/>
      <c r="B4291" s="40" t="s">
        <v>96</v>
      </c>
      <c r="C4291" s="39">
        <v>144</v>
      </c>
      <c r="D4291" s="38">
        <v>15753141</v>
      </c>
      <c r="E4291" s="38">
        <v>3500588</v>
      </c>
      <c r="F4291" s="37">
        <v>1580762</v>
      </c>
      <c r="G4291" s="37">
        <v>10537054</v>
      </c>
      <c r="H4291" s="36">
        <v>134735</v>
      </c>
    </row>
    <row r="4292" spans="1:8" ht="18" customHeight="1" x14ac:dyDescent="0.15">
      <c r="A4292" s="251"/>
      <c r="B4292" s="35" t="s">
        <v>95</v>
      </c>
      <c r="C4292" s="34">
        <v>55</v>
      </c>
      <c r="D4292" s="33">
        <v>234491</v>
      </c>
      <c r="E4292" s="33">
        <v>215907</v>
      </c>
      <c r="F4292" s="32">
        <v>7114</v>
      </c>
      <c r="G4292" s="32">
        <v>8973</v>
      </c>
      <c r="H4292" s="31">
        <v>2496</v>
      </c>
    </row>
    <row r="4293" spans="1:8" ht="18" customHeight="1" x14ac:dyDescent="0.15">
      <c r="A4293" s="30" t="s">
        <v>94</v>
      </c>
      <c r="B4293" s="29" t="s">
        <v>93</v>
      </c>
      <c r="C4293" s="28">
        <v>37</v>
      </c>
      <c r="D4293" s="15">
        <v>115155</v>
      </c>
      <c r="E4293" s="15">
        <v>114123</v>
      </c>
      <c r="F4293" s="14">
        <v>973</v>
      </c>
      <c r="G4293" s="14">
        <v>0</v>
      </c>
      <c r="H4293" s="13">
        <v>58</v>
      </c>
    </row>
    <row r="4294" spans="1:8" ht="13.5" x14ac:dyDescent="0.15">
      <c r="A4294" s="252" t="s">
        <v>92</v>
      </c>
      <c r="B4294" s="17" t="s">
        <v>91</v>
      </c>
      <c r="C4294" s="16">
        <v>2976</v>
      </c>
      <c r="D4294" s="27">
        <v>58870950</v>
      </c>
      <c r="E4294" s="27">
        <v>9276462</v>
      </c>
      <c r="F4294" s="26">
        <v>6343245</v>
      </c>
      <c r="G4294" s="26">
        <v>35884206</v>
      </c>
      <c r="H4294" s="25">
        <v>7367037</v>
      </c>
    </row>
    <row r="4295" spans="1:8" ht="18" customHeight="1" x14ac:dyDescent="0.15">
      <c r="A4295" s="250"/>
      <c r="B4295" s="23" t="s">
        <v>90</v>
      </c>
      <c r="C4295" s="22">
        <v>2968</v>
      </c>
      <c r="D4295" s="21">
        <v>14425946</v>
      </c>
      <c r="E4295" s="21">
        <v>685342</v>
      </c>
      <c r="F4295" s="20">
        <v>2823126</v>
      </c>
      <c r="G4295" s="20">
        <v>8961448</v>
      </c>
      <c r="H4295" s="19">
        <v>1956029</v>
      </c>
    </row>
    <row r="4296" spans="1:8" ht="18" customHeight="1" x14ac:dyDescent="0.15">
      <c r="A4296" s="250"/>
      <c r="B4296" s="24" t="s">
        <v>89</v>
      </c>
      <c r="C4296" s="22">
        <v>611</v>
      </c>
      <c r="D4296" s="21">
        <v>35377142</v>
      </c>
      <c r="E4296" s="21">
        <v>2246630</v>
      </c>
      <c r="F4296" s="20">
        <v>4988371</v>
      </c>
      <c r="G4296" s="20">
        <v>21949724</v>
      </c>
      <c r="H4296" s="19">
        <v>6192416</v>
      </c>
    </row>
    <row r="4297" spans="1:8" ht="18" customHeight="1" x14ac:dyDescent="0.15">
      <c r="A4297" s="250"/>
      <c r="B4297" s="23" t="s">
        <v>88</v>
      </c>
      <c r="C4297" s="22">
        <v>1404</v>
      </c>
      <c r="D4297" s="21">
        <v>42412200</v>
      </c>
      <c r="E4297" s="21">
        <v>3978855</v>
      </c>
      <c r="F4297" s="20">
        <v>6475477</v>
      </c>
      <c r="G4297" s="20">
        <v>28424471</v>
      </c>
      <c r="H4297" s="19">
        <v>3533395</v>
      </c>
    </row>
    <row r="4298" spans="1:8" ht="18" customHeight="1" x14ac:dyDescent="0.15">
      <c r="A4298" s="250"/>
      <c r="B4298" s="23" t="s">
        <v>87</v>
      </c>
      <c r="C4298" s="22">
        <v>127</v>
      </c>
      <c r="D4298" s="21">
        <v>3849900</v>
      </c>
      <c r="E4298" s="21">
        <v>46551</v>
      </c>
      <c r="F4298" s="20">
        <v>149211</v>
      </c>
      <c r="G4298" s="20">
        <v>3592871</v>
      </c>
      <c r="H4298" s="19">
        <v>61265</v>
      </c>
    </row>
    <row r="4299" spans="1:8" ht="18" customHeight="1" x14ac:dyDescent="0.15">
      <c r="A4299" s="250"/>
      <c r="B4299" s="23" t="s">
        <v>86</v>
      </c>
      <c r="C4299" s="22">
        <v>93</v>
      </c>
      <c r="D4299" s="21">
        <v>988100</v>
      </c>
      <c r="E4299" s="21">
        <v>222980</v>
      </c>
      <c r="F4299" s="20">
        <v>46200</v>
      </c>
      <c r="G4299" s="20">
        <v>491700</v>
      </c>
      <c r="H4299" s="19">
        <v>227220</v>
      </c>
    </row>
    <row r="4300" spans="1:8" ht="18" customHeight="1" x14ac:dyDescent="0.15">
      <c r="A4300" s="250"/>
      <c r="B4300" s="23" t="s">
        <v>85</v>
      </c>
      <c r="C4300" s="22">
        <v>34</v>
      </c>
      <c r="D4300" s="21">
        <v>286506</v>
      </c>
      <c r="E4300" s="21">
        <v>111253</v>
      </c>
      <c r="F4300" s="20">
        <v>17246</v>
      </c>
      <c r="G4300" s="20">
        <v>101947</v>
      </c>
      <c r="H4300" s="19">
        <v>56059</v>
      </c>
    </row>
    <row r="4301" spans="1:8" ht="18" customHeight="1" x14ac:dyDescent="0.15">
      <c r="A4301" s="250"/>
      <c r="B4301" s="23" t="s">
        <v>84</v>
      </c>
      <c r="C4301" s="22">
        <v>0</v>
      </c>
      <c r="D4301" s="21">
        <v>0</v>
      </c>
      <c r="E4301" s="21">
        <v>0</v>
      </c>
      <c r="F4301" s="20">
        <v>0</v>
      </c>
      <c r="G4301" s="20">
        <v>0</v>
      </c>
      <c r="H4301" s="19">
        <v>0</v>
      </c>
    </row>
    <row r="4302" spans="1:8" ht="18" customHeight="1" x14ac:dyDescent="0.15">
      <c r="A4302" s="250"/>
      <c r="B4302" s="23" t="s">
        <v>83</v>
      </c>
      <c r="C4302" s="22">
        <v>268</v>
      </c>
      <c r="D4302" s="21">
        <v>11333430</v>
      </c>
      <c r="E4302" s="21">
        <v>884340</v>
      </c>
      <c r="F4302" s="20">
        <v>3351590</v>
      </c>
      <c r="G4302" s="20">
        <v>3797620</v>
      </c>
      <c r="H4302" s="19">
        <v>3299880</v>
      </c>
    </row>
    <row r="4303" spans="1:8" ht="18" customHeight="1" x14ac:dyDescent="0.15">
      <c r="A4303" s="250"/>
      <c r="B4303" s="23" t="s">
        <v>82</v>
      </c>
      <c r="C4303" s="22">
        <v>2852</v>
      </c>
      <c r="D4303" s="21">
        <v>58070487</v>
      </c>
      <c r="E4303" s="21">
        <v>12021958</v>
      </c>
      <c r="F4303" s="20">
        <v>7424857</v>
      </c>
      <c r="G4303" s="20">
        <v>32554076</v>
      </c>
      <c r="H4303" s="19">
        <v>6069594</v>
      </c>
    </row>
    <row r="4304" spans="1:8" ht="13.5" x14ac:dyDescent="0.15">
      <c r="A4304" s="250"/>
      <c r="B4304" s="23" t="s">
        <v>81</v>
      </c>
      <c r="C4304" s="22">
        <v>535</v>
      </c>
      <c r="D4304" s="21">
        <v>14485341</v>
      </c>
      <c r="E4304" s="21">
        <v>1717422</v>
      </c>
      <c r="F4304" s="20">
        <v>1354880</v>
      </c>
      <c r="G4304" s="20">
        <v>10249458</v>
      </c>
      <c r="H4304" s="19">
        <v>1163579</v>
      </c>
    </row>
    <row r="4305" spans="1:8" ht="18" customHeight="1" x14ac:dyDescent="0.15">
      <c r="A4305" s="250"/>
      <c r="B4305" s="23" t="s">
        <v>80</v>
      </c>
      <c r="C4305" s="22">
        <v>41309</v>
      </c>
      <c r="D4305" s="21">
        <v>11342964</v>
      </c>
      <c r="E4305" s="21">
        <v>410797</v>
      </c>
      <c r="F4305" s="20">
        <v>5990814</v>
      </c>
      <c r="G4305" s="20">
        <v>4707282</v>
      </c>
      <c r="H4305" s="19">
        <v>234070</v>
      </c>
    </row>
    <row r="4306" spans="1:8" ht="18" customHeight="1" x14ac:dyDescent="0.15">
      <c r="A4306" s="250"/>
      <c r="B4306" s="23" t="s">
        <v>79</v>
      </c>
      <c r="C4306" s="22">
        <v>113</v>
      </c>
      <c r="D4306" s="21">
        <v>1393931</v>
      </c>
      <c r="E4306" s="21">
        <v>5761</v>
      </c>
      <c r="F4306" s="20">
        <v>1098295</v>
      </c>
      <c r="G4306" s="20">
        <v>289875</v>
      </c>
      <c r="H4306" s="19">
        <v>0</v>
      </c>
    </row>
    <row r="4307" spans="1:8" ht="18" customHeight="1" x14ac:dyDescent="0.15">
      <c r="A4307" s="250"/>
      <c r="B4307" s="23" t="s">
        <v>78</v>
      </c>
      <c r="C4307" s="22">
        <v>45</v>
      </c>
      <c r="D4307" s="21">
        <v>655500</v>
      </c>
      <c r="E4307" s="21">
        <v>104861</v>
      </c>
      <c r="F4307" s="20">
        <v>87900</v>
      </c>
      <c r="G4307" s="20">
        <v>378539</v>
      </c>
      <c r="H4307" s="19">
        <v>84200</v>
      </c>
    </row>
    <row r="4308" spans="1:8" ht="18" customHeight="1" x14ac:dyDescent="0.15">
      <c r="A4308" s="250"/>
      <c r="B4308" s="23" t="s">
        <v>77</v>
      </c>
      <c r="C4308" s="22">
        <v>432</v>
      </c>
      <c r="D4308" s="21">
        <v>2291958</v>
      </c>
      <c r="E4308" s="21">
        <v>343336</v>
      </c>
      <c r="F4308" s="20">
        <v>1081356</v>
      </c>
      <c r="G4308" s="20">
        <v>788857</v>
      </c>
      <c r="H4308" s="19">
        <v>78407</v>
      </c>
    </row>
    <row r="4309" spans="1:8" ht="18" customHeight="1" x14ac:dyDescent="0.15">
      <c r="A4309" s="250"/>
      <c r="B4309" s="23" t="s">
        <v>76</v>
      </c>
      <c r="C4309" s="22">
        <v>352</v>
      </c>
      <c r="D4309" s="21">
        <v>9440388</v>
      </c>
      <c r="E4309" s="21">
        <v>946979</v>
      </c>
      <c r="F4309" s="20">
        <v>1814888</v>
      </c>
      <c r="G4309" s="20">
        <v>6091033</v>
      </c>
      <c r="H4309" s="19">
        <v>587487</v>
      </c>
    </row>
    <row r="4310" spans="1:8" ht="13.5" x14ac:dyDescent="0.15">
      <c r="A4310" s="250"/>
      <c r="B4310" s="23" t="s">
        <v>75</v>
      </c>
      <c r="C4310" s="22">
        <v>40</v>
      </c>
      <c r="D4310" s="21">
        <v>1893100</v>
      </c>
      <c r="E4310" s="21">
        <v>175500</v>
      </c>
      <c r="F4310" s="20">
        <v>689100</v>
      </c>
      <c r="G4310" s="20">
        <v>890400</v>
      </c>
      <c r="H4310" s="19">
        <v>138100</v>
      </c>
    </row>
    <row r="4311" spans="1:8" ht="18" customHeight="1" x14ac:dyDescent="0.15">
      <c r="A4311" s="250"/>
      <c r="B4311" s="23" t="s">
        <v>74</v>
      </c>
      <c r="C4311" s="22">
        <v>0</v>
      </c>
      <c r="D4311" s="21">
        <v>0</v>
      </c>
      <c r="E4311" s="21">
        <v>0</v>
      </c>
      <c r="F4311" s="20">
        <v>0</v>
      </c>
      <c r="G4311" s="20">
        <v>0</v>
      </c>
      <c r="H4311" s="19">
        <v>0</v>
      </c>
    </row>
    <row r="4312" spans="1:8" ht="18" customHeight="1" x14ac:dyDescent="0.15">
      <c r="A4312" s="250"/>
      <c r="B4312" s="23" t="s">
        <v>73</v>
      </c>
      <c r="C4312" s="22">
        <v>13</v>
      </c>
      <c r="D4312" s="21">
        <v>421300</v>
      </c>
      <c r="E4312" s="21">
        <v>200</v>
      </c>
      <c r="F4312" s="20">
        <v>132800</v>
      </c>
      <c r="G4312" s="20">
        <v>286200</v>
      </c>
      <c r="H4312" s="19">
        <v>2100</v>
      </c>
    </row>
    <row r="4313" spans="1:8" ht="18" customHeight="1" x14ac:dyDescent="0.15">
      <c r="A4313" s="250"/>
      <c r="B4313" s="23" t="s">
        <v>72</v>
      </c>
      <c r="C4313" s="22">
        <v>1</v>
      </c>
      <c r="D4313" s="21">
        <v>3000</v>
      </c>
      <c r="E4313" s="21">
        <v>100</v>
      </c>
      <c r="F4313" s="20">
        <v>500</v>
      </c>
      <c r="G4313" s="20">
        <v>1000</v>
      </c>
      <c r="H4313" s="19">
        <v>1400</v>
      </c>
    </row>
    <row r="4314" spans="1:8" ht="18" customHeight="1" x14ac:dyDescent="0.15">
      <c r="A4314" s="251"/>
      <c r="B4314" s="23" t="s">
        <v>71</v>
      </c>
      <c r="C4314" s="22">
        <v>11</v>
      </c>
      <c r="D4314" s="21">
        <v>6941</v>
      </c>
      <c r="E4314" s="21">
        <v>541</v>
      </c>
      <c r="F4314" s="20">
        <v>0</v>
      </c>
      <c r="G4314" s="20">
        <v>5900</v>
      </c>
      <c r="H4314" s="19">
        <v>500</v>
      </c>
    </row>
    <row r="4315" spans="1:8" ht="18" customHeight="1" x14ac:dyDescent="0.15">
      <c r="A4315" s="18" t="s">
        <v>70</v>
      </c>
      <c r="B4315" s="17" t="s">
        <v>69</v>
      </c>
      <c r="C4315" s="16">
        <v>4083</v>
      </c>
      <c r="D4315" s="15">
        <v>14814394</v>
      </c>
      <c r="E4315" s="15">
        <v>1397110</v>
      </c>
      <c r="F4315" s="14">
        <v>3658222</v>
      </c>
      <c r="G4315" s="14">
        <v>7622152</v>
      </c>
      <c r="H4315" s="13">
        <v>2136910</v>
      </c>
    </row>
    <row r="4316" spans="1:8" ht="13.5" x14ac:dyDescent="0.15">
      <c r="A4316" s="252" t="s">
        <v>68</v>
      </c>
      <c r="B4316" s="12" t="s">
        <v>67</v>
      </c>
      <c r="C4316" s="11">
        <v>5621</v>
      </c>
      <c r="D4316" s="10">
        <v>82500794</v>
      </c>
      <c r="E4316" s="10">
        <v>50342743</v>
      </c>
      <c r="F4316" s="9">
        <v>14321656</v>
      </c>
      <c r="G4316" s="9">
        <v>11541284</v>
      </c>
      <c r="H4316" s="8">
        <v>6295109</v>
      </c>
    </row>
    <row r="4317" spans="1:8" ht="18" customHeight="1" thickBot="1" x14ac:dyDescent="0.2">
      <c r="A4317" s="253"/>
      <c r="B4317" s="7" t="s">
        <v>66</v>
      </c>
      <c r="C4317" s="6">
        <v>3878</v>
      </c>
      <c r="D4317" s="5" t="s">
        <v>65</v>
      </c>
      <c r="E4317" s="5" t="s">
        <v>54</v>
      </c>
      <c r="F4317" s="5" t="s">
        <v>54</v>
      </c>
      <c r="G4317" s="5" t="s">
        <v>54</v>
      </c>
      <c r="H4317" s="4" t="s">
        <v>54</v>
      </c>
    </row>
    <row r="4318" spans="1:8" ht="18" customHeight="1" x14ac:dyDescent="0.15">
      <c r="A4318" s="3" t="s">
        <v>142</v>
      </c>
      <c r="B4318" s="2"/>
      <c r="C4318" s="2"/>
      <c r="D4318" s="2"/>
      <c r="E4318" s="2"/>
      <c r="F4318" s="2"/>
      <c r="G4318" s="2"/>
      <c r="H4318" s="2"/>
    </row>
    <row r="4319" spans="1:8" ht="24" x14ac:dyDescent="0.15">
      <c r="A4319" s="230" t="s">
        <v>141</v>
      </c>
      <c r="B4319" s="230"/>
      <c r="C4319" s="230"/>
      <c r="D4319" s="230"/>
      <c r="E4319" s="230"/>
      <c r="F4319" s="230"/>
      <c r="G4319" s="230"/>
      <c r="H4319" s="230"/>
    </row>
    <row r="4320" spans="1:8" ht="18" customHeight="1" x14ac:dyDescent="0.15">
      <c r="A4320" s="231"/>
      <c r="B4320" s="231"/>
      <c r="C4320" s="231"/>
      <c r="D4320" s="231"/>
      <c r="E4320" s="231"/>
      <c r="F4320" s="231"/>
      <c r="G4320" s="231"/>
      <c r="H4320" s="231"/>
    </row>
    <row r="4321" spans="1:8" ht="18" customHeight="1" thickBot="1" x14ac:dyDescent="0.2">
      <c r="A4321" s="58" t="s">
        <v>62</v>
      </c>
    </row>
    <row r="4322" spans="1:8" ht="14.25" x14ac:dyDescent="0.15">
      <c r="A4322" s="232" t="s">
        <v>61</v>
      </c>
      <c r="B4322" s="235" t="s">
        <v>110</v>
      </c>
      <c r="C4322" s="238" t="s">
        <v>109</v>
      </c>
      <c r="D4322" s="241" t="s">
        <v>108</v>
      </c>
      <c r="E4322" s="57"/>
      <c r="F4322" s="56"/>
      <c r="G4322" s="56"/>
      <c r="H4322" s="55"/>
    </row>
    <row r="4323" spans="1:8" ht="18" customHeight="1" x14ac:dyDescent="0.15">
      <c r="A4323" s="233"/>
      <c r="B4323" s="236"/>
      <c r="C4323" s="239"/>
      <c r="D4323" s="242"/>
      <c r="E4323" s="244" t="s">
        <v>107</v>
      </c>
      <c r="F4323" s="254" t="s">
        <v>106</v>
      </c>
      <c r="G4323" s="254" t="s">
        <v>105</v>
      </c>
      <c r="H4323" s="256" t="s">
        <v>104</v>
      </c>
    </row>
    <row r="4324" spans="1:8" ht="18" customHeight="1" thickBot="1" x14ac:dyDescent="0.2">
      <c r="A4324" s="234"/>
      <c r="B4324" s="237"/>
      <c r="C4324" s="240"/>
      <c r="D4324" s="243"/>
      <c r="E4324" s="245"/>
      <c r="F4324" s="255"/>
      <c r="G4324" s="255"/>
      <c r="H4324" s="257"/>
    </row>
    <row r="4325" spans="1:8" ht="15" thickTop="1" x14ac:dyDescent="0.15">
      <c r="A4325" s="54"/>
      <c r="B4325" s="53"/>
      <c r="C4325" s="52"/>
      <c r="D4325" s="51" t="s">
        <v>103</v>
      </c>
      <c r="E4325" s="50" t="s">
        <v>103</v>
      </c>
      <c r="F4325" s="49" t="s">
        <v>103</v>
      </c>
      <c r="G4325" s="49" t="s">
        <v>103</v>
      </c>
      <c r="H4325" s="48" t="s">
        <v>103</v>
      </c>
    </row>
    <row r="4326" spans="1:8" ht="18" customHeight="1" x14ac:dyDescent="0.15">
      <c r="A4326" s="250" t="s">
        <v>102</v>
      </c>
      <c r="B4326" s="47" t="s">
        <v>101</v>
      </c>
      <c r="C4326" s="46">
        <v>3612</v>
      </c>
      <c r="D4326" s="45">
        <v>556233548</v>
      </c>
      <c r="E4326" s="45">
        <v>212242425</v>
      </c>
      <c r="F4326" s="44">
        <v>168440775</v>
      </c>
      <c r="G4326" s="44">
        <v>169061324</v>
      </c>
      <c r="H4326" s="43">
        <v>6489023</v>
      </c>
    </row>
    <row r="4327" spans="1:8" ht="18" customHeight="1" x14ac:dyDescent="0.15">
      <c r="A4327" s="250"/>
      <c r="B4327" s="41" t="s">
        <v>100</v>
      </c>
      <c r="C4327" s="39">
        <v>27</v>
      </c>
      <c r="D4327" s="38">
        <v>254641</v>
      </c>
      <c r="E4327" s="38">
        <v>111144</v>
      </c>
      <c r="F4327" s="37">
        <v>109074</v>
      </c>
      <c r="G4327" s="37">
        <v>34421</v>
      </c>
      <c r="H4327" s="36">
        <v>0</v>
      </c>
    </row>
    <row r="4328" spans="1:8" ht="13.5" x14ac:dyDescent="0.15">
      <c r="A4328" s="250"/>
      <c r="B4328" s="41" t="s">
        <v>99</v>
      </c>
      <c r="C4328" s="39">
        <v>18</v>
      </c>
      <c r="D4328" s="38">
        <v>0</v>
      </c>
      <c r="E4328" s="38">
        <v>0</v>
      </c>
      <c r="F4328" s="37">
        <v>0</v>
      </c>
      <c r="G4328" s="37">
        <v>0</v>
      </c>
      <c r="H4328" s="36">
        <v>0</v>
      </c>
    </row>
    <row r="4329" spans="1:8" ht="18" customHeight="1" x14ac:dyDescent="0.15">
      <c r="A4329" s="250"/>
      <c r="B4329" s="42" t="s">
        <v>98</v>
      </c>
      <c r="C4329" s="34">
        <v>1</v>
      </c>
      <c r="D4329" s="33">
        <v>156092</v>
      </c>
      <c r="E4329" s="33">
        <v>119332</v>
      </c>
      <c r="F4329" s="32">
        <v>6634</v>
      </c>
      <c r="G4329" s="32">
        <v>28552</v>
      </c>
      <c r="H4329" s="31">
        <v>1572</v>
      </c>
    </row>
    <row r="4330" spans="1:8" ht="18" customHeight="1" x14ac:dyDescent="0.15">
      <c r="A4330" s="250"/>
      <c r="B4330" s="41" t="s">
        <v>97</v>
      </c>
      <c r="C4330" s="39">
        <v>54</v>
      </c>
      <c r="D4330" s="38">
        <v>9889233</v>
      </c>
      <c r="E4330" s="38">
        <v>2829164</v>
      </c>
      <c r="F4330" s="37">
        <v>2229833</v>
      </c>
      <c r="G4330" s="37">
        <v>4808196</v>
      </c>
      <c r="H4330" s="36">
        <v>22039</v>
      </c>
    </row>
    <row r="4331" spans="1:8" ht="13.5" x14ac:dyDescent="0.15">
      <c r="A4331" s="250"/>
      <c r="B4331" s="40" t="s">
        <v>96</v>
      </c>
      <c r="C4331" s="39">
        <v>140</v>
      </c>
      <c r="D4331" s="38">
        <v>14449309</v>
      </c>
      <c r="E4331" s="38">
        <v>3238378</v>
      </c>
      <c r="F4331" s="37">
        <v>1805335</v>
      </c>
      <c r="G4331" s="37">
        <v>9309863</v>
      </c>
      <c r="H4331" s="36">
        <v>95732</v>
      </c>
    </row>
    <row r="4332" spans="1:8" ht="18" customHeight="1" x14ac:dyDescent="0.15">
      <c r="A4332" s="251"/>
      <c r="B4332" s="35" t="s">
        <v>95</v>
      </c>
      <c r="C4332" s="34">
        <v>55</v>
      </c>
      <c r="D4332" s="33">
        <v>219181</v>
      </c>
      <c r="E4332" s="33">
        <v>201421</v>
      </c>
      <c r="F4332" s="32">
        <v>6990</v>
      </c>
      <c r="G4332" s="32">
        <v>8510</v>
      </c>
      <c r="H4332" s="31">
        <v>2258</v>
      </c>
    </row>
    <row r="4333" spans="1:8" ht="18" customHeight="1" x14ac:dyDescent="0.15">
      <c r="A4333" s="30" t="s">
        <v>94</v>
      </c>
      <c r="B4333" s="29" t="s">
        <v>93</v>
      </c>
      <c r="C4333" s="28">
        <v>38</v>
      </c>
      <c r="D4333" s="15">
        <v>106283</v>
      </c>
      <c r="E4333" s="15">
        <v>105460</v>
      </c>
      <c r="F4333" s="14">
        <v>754</v>
      </c>
      <c r="G4333" s="14">
        <v>0</v>
      </c>
      <c r="H4333" s="13">
        <v>68</v>
      </c>
    </row>
    <row r="4334" spans="1:8" ht="13.5" x14ac:dyDescent="0.15">
      <c r="A4334" s="252" t="s">
        <v>92</v>
      </c>
      <c r="B4334" s="17" t="s">
        <v>91</v>
      </c>
      <c r="C4334" s="16">
        <v>2955</v>
      </c>
      <c r="D4334" s="27">
        <v>58587813</v>
      </c>
      <c r="E4334" s="27">
        <v>9368083</v>
      </c>
      <c r="F4334" s="26">
        <v>6324387</v>
      </c>
      <c r="G4334" s="26">
        <v>35578108</v>
      </c>
      <c r="H4334" s="25">
        <v>7317234</v>
      </c>
    </row>
    <row r="4335" spans="1:8" ht="18" customHeight="1" x14ac:dyDescent="0.15">
      <c r="A4335" s="250"/>
      <c r="B4335" s="23" t="s">
        <v>90</v>
      </c>
      <c r="C4335" s="22">
        <v>2957</v>
      </c>
      <c r="D4335" s="21">
        <v>14421549</v>
      </c>
      <c r="E4335" s="21">
        <v>722000</v>
      </c>
      <c r="F4335" s="20">
        <v>2846675</v>
      </c>
      <c r="G4335" s="20">
        <v>8905503</v>
      </c>
      <c r="H4335" s="19">
        <v>1947370</v>
      </c>
    </row>
    <row r="4336" spans="1:8" ht="18" customHeight="1" x14ac:dyDescent="0.15">
      <c r="A4336" s="250"/>
      <c r="B4336" s="24" t="s">
        <v>89</v>
      </c>
      <c r="C4336" s="22">
        <v>608</v>
      </c>
      <c r="D4336" s="21">
        <v>35227142</v>
      </c>
      <c r="E4336" s="21">
        <v>2281480</v>
      </c>
      <c r="F4336" s="20">
        <v>4945645</v>
      </c>
      <c r="G4336" s="20">
        <v>21860630</v>
      </c>
      <c r="H4336" s="19">
        <v>6139386</v>
      </c>
    </row>
    <row r="4337" spans="1:8" ht="18" customHeight="1" x14ac:dyDescent="0.15">
      <c r="A4337" s="250"/>
      <c r="B4337" s="23" t="s">
        <v>88</v>
      </c>
      <c r="C4337" s="22">
        <v>1383</v>
      </c>
      <c r="D4337" s="21">
        <v>42009300</v>
      </c>
      <c r="E4337" s="21">
        <v>4017489</v>
      </c>
      <c r="F4337" s="20">
        <v>6416177</v>
      </c>
      <c r="G4337" s="20">
        <v>28062688</v>
      </c>
      <c r="H4337" s="19">
        <v>3512945</v>
      </c>
    </row>
    <row r="4338" spans="1:8" ht="18" customHeight="1" x14ac:dyDescent="0.15">
      <c r="A4338" s="250"/>
      <c r="B4338" s="23" t="s">
        <v>87</v>
      </c>
      <c r="C4338" s="22">
        <v>127</v>
      </c>
      <c r="D4338" s="21">
        <v>3894900</v>
      </c>
      <c r="E4338" s="21">
        <v>47328</v>
      </c>
      <c r="F4338" s="20">
        <v>149211</v>
      </c>
      <c r="G4338" s="20">
        <v>3637114</v>
      </c>
      <c r="H4338" s="19">
        <v>61245</v>
      </c>
    </row>
    <row r="4339" spans="1:8" ht="18" customHeight="1" x14ac:dyDescent="0.15">
      <c r="A4339" s="250"/>
      <c r="B4339" s="23" t="s">
        <v>86</v>
      </c>
      <c r="C4339" s="22">
        <v>93</v>
      </c>
      <c r="D4339" s="21">
        <v>988100</v>
      </c>
      <c r="E4339" s="21">
        <v>223080</v>
      </c>
      <c r="F4339" s="20">
        <v>45200</v>
      </c>
      <c r="G4339" s="20">
        <v>492400</v>
      </c>
      <c r="H4339" s="19">
        <v>227420</v>
      </c>
    </row>
    <row r="4340" spans="1:8" ht="18" customHeight="1" x14ac:dyDescent="0.15">
      <c r="A4340" s="250"/>
      <c r="B4340" s="23" t="s">
        <v>85</v>
      </c>
      <c r="C4340" s="22">
        <v>35</v>
      </c>
      <c r="D4340" s="21">
        <v>293706</v>
      </c>
      <c r="E4340" s="21">
        <v>119557</v>
      </c>
      <c r="F4340" s="20">
        <v>17246</v>
      </c>
      <c r="G4340" s="20">
        <v>101947</v>
      </c>
      <c r="H4340" s="19">
        <v>54955</v>
      </c>
    </row>
    <row r="4341" spans="1:8" ht="18" customHeight="1" x14ac:dyDescent="0.15">
      <c r="A4341" s="250"/>
      <c r="B4341" s="23" t="s">
        <v>84</v>
      </c>
      <c r="C4341" s="22">
        <v>0</v>
      </c>
      <c r="D4341" s="21">
        <v>0</v>
      </c>
      <c r="E4341" s="21">
        <v>0</v>
      </c>
      <c r="F4341" s="20">
        <v>0</v>
      </c>
      <c r="G4341" s="20">
        <v>0</v>
      </c>
      <c r="H4341" s="19">
        <v>0</v>
      </c>
    </row>
    <row r="4342" spans="1:8" ht="18" customHeight="1" x14ac:dyDescent="0.15">
      <c r="A4342" s="250"/>
      <c r="B4342" s="23" t="s">
        <v>83</v>
      </c>
      <c r="C4342" s="22">
        <v>268</v>
      </c>
      <c r="D4342" s="21">
        <v>11363270</v>
      </c>
      <c r="E4342" s="21">
        <v>918570</v>
      </c>
      <c r="F4342" s="20">
        <v>3363660</v>
      </c>
      <c r="G4342" s="20">
        <v>3783360</v>
      </c>
      <c r="H4342" s="19">
        <v>3297680</v>
      </c>
    </row>
    <row r="4343" spans="1:8" ht="18" customHeight="1" x14ac:dyDescent="0.15">
      <c r="A4343" s="250"/>
      <c r="B4343" s="23" t="s">
        <v>82</v>
      </c>
      <c r="C4343" s="22">
        <v>2853</v>
      </c>
      <c r="D4343" s="21">
        <v>58187285</v>
      </c>
      <c r="E4343" s="21">
        <v>12058425</v>
      </c>
      <c r="F4343" s="20">
        <v>7478120</v>
      </c>
      <c r="G4343" s="20">
        <v>32564949</v>
      </c>
      <c r="H4343" s="19">
        <v>6085790</v>
      </c>
    </row>
    <row r="4344" spans="1:8" ht="13.5" x14ac:dyDescent="0.15">
      <c r="A4344" s="250"/>
      <c r="B4344" s="23" t="s">
        <v>81</v>
      </c>
      <c r="C4344" s="22">
        <v>531</v>
      </c>
      <c r="D4344" s="21">
        <v>14434341</v>
      </c>
      <c r="E4344" s="21">
        <v>1762172</v>
      </c>
      <c r="F4344" s="20">
        <v>1358889</v>
      </c>
      <c r="G4344" s="20">
        <v>10159981</v>
      </c>
      <c r="H4344" s="19">
        <v>1153297</v>
      </c>
    </row>
    <row r="4345" spans="1:8" ht="18" customHeight="1" x14ac:dyDescent="0.15">
      <c r="A4345" s="250"/>
      <c r="B4345" s="23" t="s">
        <v>80</v>
      </c>
      <c r="C4345" s="22">
        <v>41339</v>
      </c>
      <c r="D4345" s="21">
        <v>11275196</v>
      </c>
      <c r="E4345" s="21">
        <v>409610</v>
      </c>
      <c r="F4345" s="20">
        <v>6000332</v>
      </c>
      <c r="G4345" s="20">
        <v>4636154</v>
      </c>
      <c r="H4345" s="19">
        <v>229100</v>
      </c>
    </row>
    <row r="4346" spans="1:8" ht="18" customHeight="1" x14ac:dyDescent="0.15">
      <c r="A4346" s="250"/>
      <c r="B4346" s="23" t="s">
        <v>79</v>
      </c>
      <c r="C4346" s="22">
        <v>112</v>
      </c>
      <c r="D4346" s="21">
        <v>1394831</v>
      </c>
      <c r="E4346" s="21">
        <v>6761</v>
      </c>
      <c r="F4346" s="20">
        <v>1097695</v>
      </c>
      <c r="G4346" s="20">
        <v>290375</v>
      </c>
      <c r="H4346" s="19">
        <v>0</v>
      </c>
    </row>
    <row r="4347" spans="1:8" ht="18" customHeight="1" x14ac:dyDescent="0.15">
      <c r="A4347" s="250"/>
      <c r="B4347" s="23" t="s">
        <v>78</v>
      </c>
      <c r="C4347" s="22">
        <v>43</v>
      </c>
      <c r="D4347" s="21">
        <v>652500</v>
      </c>
      <c r="E4347" s="21">
        <v>103161</v>
      </c>
      <c r="F4347" s="20">
        <v>85000</v>
      </c>
      <c r="G4347" s="20">
        <v>380239</v>
      </c>
      <c r="H4347" s="19">
        <v>84100</v>
      </c>
    </row>
    <row r="4348" spans="1:8" ht="18" customHeight="1" x14ac:dyDescent="0.15">
      <c r="A4348" s="250"/>
      <c r="B4348" s="23" t="s">
        <v>77</v>
      </c>
      <c r="C4348" s="22">
        <v>422</v>
      </c>
      <c r="D4348" s="21">
        <v>2256050</v>
      </c>
      <c r="E4348" s="21">
        <v>291046</v>
      </c>
      <c r="F4348" s="20">
        <v>1082598</v>
      </c>
      <c r="G4348" s="20">
        <v>781347</v>
      </c>
      <c r="H4348" s="19">
        <v>101057</v>
      </c>
    </row>
    <row r="4349" spans="1:8" ht="18" customHeight="1" x14ac:dyDescent="0.15">
      <c r="A4349" s="250"/>
      <c r="B4349" s="23" t="s">
        <v>76</v>
      </c>
      <c r="C4349" s="22">
        <v>346</v>
      </c>
      <c r="D4349" s="21">
        <v>9322851</v>
      </c>
      <c r="E4349" s="21">
        <v>962703</v>
      </c>
      <c r="F4349" s="20">
        <v>1824411</v>
      </c>
      <c r="G4349" s="20">
        <v>5965150</v>
      </c>
      <c r="H4349" s="19">
        <v>570587</v>
      </c>
    </row>
    <row r="4350" spans="1:8" ht="13.5" x14ac:dyDescent="0.15">
      <c r="A4350" s="250"/>
      <c r="B4350" s="23" t="s">
        <v>75</v>
      </c>
      <c r="C4350" s="22">
        <v>41</v>
      </c>
      <c r="D4350" s="21">
        <v>1894600</v>
      </c>
      <c r="E4350" s="21">
        <v>175600</v>
      </c>
      <c r="F4350" s="20">
        <v>689100</v>
      </c>
      <c r="G4350" s="20">
        <v>891800</v>
      </c>
      <c r="H4350" s="19">
        <v>138100</v>
      </c>
    </row>
    <row r="4351" spans="1:8" ht="18" customHeight="1" x14ac:dyDescent="0.15">
      <c r="A4351" s="250"/>
      <c r="B4351" s="23" t="s">
        <v>74</v>
      </c>
      <c r="C4351" s="22">
        <v>0</v>
      </c>
      <c r="D4351" s="21">
        <v>0</v>
      </c>
      <c r="E4351" s="21">
        <v>0</v>
      </c>
      <c r="F4351" s="20">
        <v>0</v>
      </c>
      <c r="G4351" s="20">
        <v>0</v>
      </c>
      <c r="H4351" s="19">
        <v>0</v>
      </c>
    </row>
    <row r="4352" spans="1:8" ht="18" customHeight="1" x14ac:dyDescent="0.15">
      <c r="A4352" s="250"/>
      <c r="B4352" s="23" t="s">
        <v>73</v>
      </c>
      <c r="C4352" s="22">
        <v>13</v>
      </c>
      <c r="D4352" s="21">
        <v>421300</v>
      </c>
      <c r="E4352" s="21">
        <v>200</v>
      </c>
      <c r="F4352" s="20">
        <v>132800</v>
      </c>
      <c r="G4352" s="20">
        <v>286200</v>
      </c>
      <c r="H4352" s="19">
        <v>2100</v>
      </c>
    </row>
    <row r="4353" spans="1:8" ht="18" customHeight="1" x14ac:dyDescent="0.15">
      <c r="A4353" s="250"/>
      <c r="B4353" s="23" t="s">
        <v>72</v>
      </c>
      <c r="C4353" s="22">
        <v>1</v>
      </c>
      <c r="D4353" s="21">
        <v>3000</v>
      </c>
      <c r="E4353" s="21">
        <v>100</v>
      </c>
      <c r="F4353" s="20">
        <v>500</v>
      </c>
      <c r="G4353" s="20">
        <v>1000</v>
      </c>
      <c r="H4353" s="19">
        <v>1400</v>
      </c>
    </row>
    <row r="4354" spans="1:8" ht="18" customHeight="1" x14ac:dyDescent="0.15">
      <c r="A4354" s="251"/>
      <c r="B4354" s="23" t="s">
        <v>71</v>
      </c>
      <c r="C4354" s="22">
        <v>11</v>
      </c>
      <c r="D4354" s="21">
        <v>6941</v>
      </c>
      <c r="E4354" s="21">
        <v>541</v>
      </c>
      <c r="F4354" s="20">
        <v>0</v>
      </c>
      <c r="G4354" s="20">
        <v>5900</v>
      </c>
      <c r="H4354" s="19">
        <v>500</v>
      </c>
    </row>
    <row r="4355" spans="1:8" ht="18" customHeight="1" x14ac:dyDescent="0.15">
      <c r="A4355" s="18" t="s">
        <v>70</v>
      </c>
      <c r="B4355" s="17" t="s">
        <v>69</v>
      </c>
      <c r="C4355" s="16">
        <v>3948</v>
      </c>
      <c r="D4355" s="15">
        <v>14731020</v>
      </c>
      <c r="E4355" s="15">
        <v>1257650</v>
      </c>
      <c r="F4355" s="14">
        <v>3523471</v>
      </c>
      <c r="G4355" s="14">
        <v>7937224</v>
      </c>
      <c r="H4355" s="13">
        <v>2012675</v>
      </c>
    </row>
    <row r="4356" spans="1:8" ht="13.5" x14ac:dyDescent="0.15">
      <c r="A4356" s="252" t="s">
        <v>68</v>
      </c>
      <c r="B4356" s="12" t="s">
        <v>67</v>
      </c>
      <c r="C4356" s="11">
        <v>5582</v>
      </c>
      <c r="D4356" s="10">
        <v>78794006</v>
      </c>
      <c r="E4356" s="10">
        <v>48076057</v>
      </c>
      <c r="F4356" s="9">
        <v>13743604</v>
      </c>
      <c r="G4356" s="9">
        <v>11014348</v>
      </c>
      <c r="H4356" s="8">
        <v>5959996</v>
      </c>
    </row>
    <row r="4357" spans="1:8" ht="18" customHeight="1" thickBot="1" x14ac:dyDescent="0.2">
      <c r="A4357" s="253"/>
      <c r="B4357" s="7" t="s">
        <v>66</v>
      </c>
      <c r="C4357" s="6">
        <v>3838</v>
      </c>
      <c r="D4357" s="5" t="s">
        <v>54</v>
      </c>
      <c r="E4357" s="5" t="s">
        <v>54</v>
      </c>
      <c r="F4357" s="5" t="s">
        <v>54</v>
      </c>
      <c r="G4357" s="5" t="s">
        <v>54</v>
      </c>
      <c r="H4357" s="4" t="s">
        <v>54</v>
      </c>
    </row>
    <row r="4358" spans="1:8" ht="18" customHeight="1" x14ac:dyDescent="0.15">
      <c r="A4358" s="3" t="s">
        <v>140</v>
      </c>
      <c r="B4358" s="2"/>
      <c r="C4358" s="2"/>
      <c r="D4358" s="2"/>
      <c r="E4358" s="2"/>
      <c r="F4358" s="2"/>
      <c r="G4358" s="2"/>
      <c r="H4358" s="2"/>
    </row>
    <row r="4359" spans="1:8" ht="24" x14ac:dyDescent="0.15">
      <c r="A4359" s="230" t="s">
        <v>139</v>
      </c>
      <c r="B4359" s="230"/>
      <c r="C4359" s="230"/>
      <c r="D4359" s="230"/>
      <c r="E4359" s="230"/>
      <c r="F4359" s="230"/>
      <c r="G4359" s="230"/>
      <c r="H4359" s="230"/>
    </row>
    <row r="4360" spans="1:8" ht="18" customHeight="1" x14ac:dyDescent="0.15">
      <c r="A4360" s="231"/>
      <c r="B4360" s="231"/>
      <c r="C4360" s="231"/>
      <c r="D4360" s="231"/>
      <c r="E4360" s="231"/>
      <c r="F4360" s="231"/>
      <c r="G4360" s="231"/>
      <c r="H4360" s="231"/>
    </row>
    <row r="4361" spans="1:8" ht="18" customHeight="1" thickBot="1" x14ac:dyDescent="0.2">
      <c r="A4361" s="58" t="s">
        <v>62</v>
      </c>
    </row>
    <row r="4362" spans="1:8" ht="14.25" x14ac:dyDescent="0.15">
      <c r="A4362" s="232" t="s">
        <v>61</v>
      </c>
      <c r="B4362" s="235" t="s">
        <v>110</v>
      </c>
      <c r="C4362" s="238" t="s">
        <v>109</v>
      </c>
      <c r="D4362" s="241" t="s">
        <v>108</v>
      </c>
      <c r="E4362" s="57"/>
      <c r="F4362" s="56"/>
      <c r="G4362" s="56"/>
      <c r="H4362" s="55"/>
    </row>
    <row r="4363" spans="1:8" ht="18" customHeight="1" x14ac:dyDescent="0.15">
      <c r="A4363" s="233"/>
      <c r="B4363" s="236"/>
      <c r="C4363" s="239"/>
      <c r="D4363" s="242"/>
      <c r="E4363" s="244" t="s">
        <v>107</v>
      </c>
      <c r="F4363" s="254" t="s">
        <v>106</v>
      </c>
      <c r="G4363" s="254" t="s">
        <v>105</v>
      </c>
      <c r="H4363" s="256" t="s">
        <v>104</v>
      </c>
    </row>
    <row r="4364" spans="1:8" ht="18" customHeight="1" thickBot="1" x14ac:dyDescent="0.2">
      <c r="A4364" s="234"/>
      <c r="B4364" s="237"/>
      <c r="C4364" s="240"/>
      <c r="D4364" s="243"/>
      <c r="E4364" s="245"/>
      <c r="F4364" s="255"/>
      <c r="G4364" s="255"/>
      <c r="H4364" s="257"/>
    </row>
    <row r="4365" spans="1:8" ht="15" thickTop="1" x14ac:dyDescent="0.15">
      <c r="A4365" s="54"/>
      <c r="B4365" s="53"/>
      <c r="C4365" s="52"/>
      <c r="D4365" s="51" t="s">
        <v>103</v>
      </c>
      <c r="E4365" s="50" t="s">
        <v>103</v>
      </c>
      <c r="F4365" s="49" t="s">
        <v>103</v>
      </c>
      <c r="G4365" s="49" t="s">
        <v>103</v>
      </c>
      <c r="H4365" s="48" t="s">
        <v>103</v>
      </c>
    </row>
    <row r="4366" spans="1:8" ht="18" customHeight="1" x14ac:dyDescent="0.15">
      <c r="A4366" s="250" t="s">
        <v>102</v>
      </c>
      <c r="B4366" s="47" t="s">
        <v>101</v>
      </c>
      <c r="C4366" s="46">
        <v>3612</v>
      </c>
      <c r="D4366" s="45">
        <v>580606778</v>
      </c>
      <c r="E4366" s="45">
        <v>214050240</v>
      </c>
      <c r="F4366" s="44">
        <v>185217056</v>
      </c>
      <c r="G4366" s="44">
        <v>174069473</v>
      </c>
      <c r="H4366" s="43">
        <v>7270007</v>
      </c>
    </row>
    <row r="4367" spans="1:8" ht="18" customHeight="1" x14ac:dyDescent="0.15">
      <c r="A4367" s="250"/>
      <c r="B4367" s="41" t="s">
        <v>100</v>
      </c>
      <c r="C4367" s="39">
        <v>27</v>
      </c>
      <c r="D4367" s="38">
        <v>267700</v>
      </c>
      <c r="E4367" s="38">
        <v>120404</v>
      </c>
      <c r="F4367" s="37">
        <v>109398</v>
      </c>
      <c r="G4367" s="37">
        <v>37897</v>
      </c>
      <c r="H4367" s="36">
        <v>0</v>
      </c>
    </row>
    <row r="4368" spans="1:8" ht="13.5" x14ac:dyDescent="0.15">
      <c r="A4368" s="250"/>
      <c r="B4368" s="41" t="s">
        <v>99</v>
      </c>
      <c r="C4368" s="39">
        <v>17</v>
      </c>
      <c r="D4368" s="38">
        <v>0</v>
      </c>
      <c r="E4368" s="38">
        <v>0</v>
      </c>
      <c r="F4368" s="37">
        <v>0</v>
      </c>
      <c r="G4368" s="37">
        <v>0</v>
      </c>
      <c r="H4368" s="36">
        <v>0</v>
      </c>
    </row>
    <row r="4369" spans="1:8" ht="18" customHeight="1" x14ac:dyDescent="0.15">
      <c r="A4369" s="250"/>
      <c r="B4369" s="42" t="s">
        <v>98</v>
      </c>
      <c r="C4369" s="34">
        <v>1</v>
      </c>
      <c r="D4369" s="33">
        <v>158570</v>
      </c>
      <c r="E4369" s="33">
        <v>121010</v>
      </c>
      <c r="F4369" s="32">
        <v>6957</v>
      </c>
      <c r="G4369" s="32">
        <v>29001</v>
      </c>
      <c r="H4369" s="31">
        <v>1602</v>
      </c>
    </row>
    <row r="4370" spans="1:8" ht="18" customHeight="1" x14ac:dyDescent="0.15">
      <c r="A4370" s="250"/>
      <c r="B4370" s="41" t="s">
        <v>97</v>
      </c>
      <c r="C4370" s="39">
        <v>54</v>
      </c>
      <c r="D4370" s="38">
        <v>9681643</v>
      </c>
      <c r="E4370" s="38">
        <v>2826137</v>
      </c>
      <c r="F4370" s="37">
        <v>2127178</v>
      </c>
      <c r="G4370" s="37">
        <v>4694629</v>
      </c>
      <c r="H4370" s="36">
        <v>33697</v>
      </c>
    </row>
    <row r="4371" spans="1:8" ht="13.5" x14ac:dyDescent="0.15">
      <c r="A4371" s="250"/>
      <c r="B4371" s="40" t="s">
        <v>96</v>
      </c>
      <c r="C4371" s="39">
        <v>138</v>
      </c>
      <c r="D4371" s="38">
        <v>14743687</v>
      </c>
      <c r="E4371" s="38">
        <v>3312602</v>
      </c>
      <c r="F4371" s="37">
        <v>1376256</v>
      </c>
      <c r="G4371" s="37">
        <v>9907135</v>
      </c>
      <c r="H4371" s="36">
        <v>147693</v>
      </c>
    </row>
    <row r="4372" spans="1:8" ht="18" customHeight="1" x14ac:dyDescent="0.15">
      <c r="A4372" s="251"/>
      <c r="B4372" s="35" t="s">
        <v>95</v>
      </c>
      <c r="C4372" s="34">
        <v>55</v>
      </c>
      <c r="D4372" s="33">
        <v>205642</v>
      </c>
      <c r="E4372" s="33">
        <v>189119</v>
      </c>
      <c r="F4372" s="32">
        <v>5105</v>
      </c>
      <c r="G4372" s="32">
        <v>8413</v>
      </c>
      <c r="H4372" s="31">
        <v>3004</v>
      </c>
    </row>
    <row r="4373" spans="1:8" ht="18" customHeight="1" x14ac:dyDescent="0.15">
      <c r="A4373" s="30" t="s">
        <v>94</v>
      </c>
      <c r="B4373" s="29" t="s">
        <v>93</v>
      </c>
      <c r="C4373" s="28">
        <v>38</v>
      </c>
      <c r="D4373" s="15">
        <v>108560</v>
      </c>
      <c r="E4373" s="15">
        <v>107586</v>
      </c>
      <c r="F4373" s="14">
        <v>862</v>
      </c>
      <c r="G4373" s="14">
        <v>18</v>
      </c>
      <c r="H4373" s="13">
        <v>93</v>
      </c>
    </row>
    <row r="4374" spans="1:8" ht="13.5" x14ac:dyDescent="0.15">
      <c r="A4374" s="252" t="s">
        <v>92</v>
      </c>
      <c r="B4374" s="17" t="s">
        <v>91</v>
      </c>
      <c r="C4374" s="16">
        <v>2955</v>
      </c>
      <c r="D4374" s="27">
        <v>58698813</v>
      </c>
      <c r="E4374" s="27">
        <v>9391225</v>
      </c>
      <c r="F4374" s="26">
        <v>6321308</v>
      </c>
      <c r="G4374" s="26">
        <v>35690421</v>
      </c>
      <c r="H4374" s="25">
        <v>7295858</v>
      </c>
    </row>
    <row r="4375" spans="1:8" ht="18" customHeight="1" x14ac:dyDescent="0.15">
      <c r="A4375" s="250"/>
      <c r="B4375" s="23" t="s">
        <v>90</v>
      </c>
      <c r="C4375" s="22">
        <v>2968</v>
      </c>
      <c r="D4375" s="21">
        <v>14486091</v>
      </c>
      <c r="E4375" s="21">
        <v>739666</v>
      </c>
      <c r="F4375" s="20">
        <v>2770290</v>
      </c>
      <c r="G4375" s="20">
        <v>8999527</v>
      </c>
      <c r="H4375" s="19">
        <v>1976607</v>
      </c>
    </row>
    <row r="4376" spans="1:8" ht="18" customHeight="1" x14ac:dyDescent="0.15">
      <c r="A4376" s="250"/>
      <c r="B4376" s="24" t="s">
        <v>89</v>
      </c>
      <c r="C4376" s="22">
        <v>608</v>
      </c>
      <c r="D4376" s="21">
        <v>35302313</v>
      </c>
      <c r="E4376" s="21">
        <v>2288697</v>
      </c>
      <c r="F4376" s="20">
        <v>4863350</v>
      </c>
      <c r="G4376" s="20">
        <v>22062890</v>
      </c>
      <c r="H4376" s="19">
        <v>6087375</v>
      </c>
    </row>
    <row r="4377" spans="1:8" ht="18" customHeight="1" x14ac:dyDescent="0.15">
      <c r="A4377" s="250"/>
      <c r="B4377" s="23" t="s">
        <v>88</v>
      </c>
      <c r="C4377" s="22">
        <v>1390</v>
      </c>
      <c r="D4377" s="21">
        <v>42293400</v>
      </c>
      <c r="E4377" s="21">
        <v>4026913</v>
      </c>
      <c r="F4377" s="20">
        <v>6499227</v>
      </c>
      <c r="G4377" s="20">
        <v>28257214</v>
      </c>
      <c r="H4377" s="19">
        <v>3510045</v>
      </c>
    </row>
    <row r="4378" spans="1:8" ht="18" customHeight="1" x14ac:dyDescent="0.15">
      <c r="A4378" s="250"/>
      <c r="B4378" s="23" t="s">
        <v>87</v>
      </c>
      <c r="C4378" s="22">
        <v>126</v>
      </c>
      <c r="D4378" s="21">
        <v>3881500</v>
      </c>
      <c r="E4378" s="21">
        <v>60731</v>
      </c>
      <c r="F4378" s="20">
        <v>164645</v>
      </c>
      <c r="G4378" s="20">
        <v>3591185</v>
      </c>
      <c r="H4378" s="19">
        <v>64938</v>
      </c>
    </row>
    <row r="4379" spans="1:8" ht="18" customHeight="1" x14ac:dyDescent="0.15">
      <c r="A4379" s="250"/>
      <c r="B4379" s="23" t="s">
        <v>86</v>
      </c>
      <c r="C4379" s="22">
        <v>92</v>
      </c>
      <c r="D4379" s="21">
        <v>983100</v>
      </c>
      <c r="E4379" s="21">
        <v>217280</v>
      </c>
      <c r="F4379" s="20">
        <v>45100</v>
      </c>
      <c r="G4379" s="20">
        <v>493300</v>
      </c>
      <c r="H4379" s="19">
        <v>227420</v>
      </c>
    </row>
    <row r="4380" spans="1:8" ht="18" customHeight="1" x14ac:dyDescent="0.15">
      <c r="A4380" s="250"/>
      <c r="B4380" s="23" t="s">
        <v>85</v>
      </c>
      <c r="C4380" s="22">
        <v>36</v>
      </c>
      <c r="D4380" s="21">
        <v>296706</v>
      </c>
      <c r="E4380" s="21">
        <v>120583</v>
      </c>
      <c r="F4380" s="20">
        <v>17246</v>
      </c>
      <c r="G4380" s="20">
        <v>102847</v>
      </c>
      <c r="H4380" s="19">
        <v>56029</v>
      </c>
    </row>
    <row r="4381" spans="1:8" ht="18" customHeight="1" x14ac:dyDescent="0.15">
      <c r="A4381" s="250"/>
      <c r="B4381" s="23" t="s">
        <v>84</v>
      </c>
      <c r="C4381" s="22">
        <v>0</v>
      </c>
      <c r="D4381" s="21">
        <v>0</v>
      </c>
      <c r="E4381" s="21">
        <v>0</v>
      </c>
      <c r="F4381" s="20">
        <v>0</v>
      </c>
      <c r="G4381" s="20">
        <v>0</v>
      </c>
      <c r="H4381" s="19">
        <v>0</v>
      </c>
    </row>
    <row r="4382" spans="1:8" ht="18" customHeight="1" x14ac:dyDescent="0.15">
      <c r="A4382" s="250"/>
      <c r="B4382" s="23" t="s">
        <v>83</v>
      </c>
      <c r="C4382" s="22">
        <v>267</v>
      </c>
      <c r="D4382" s="21">
        <v>11344400</v>
      </c>
      <c r="E4382" s="21">
        <v>901220</v>
      </c>
      <c r="F4382" s="20">
        <v>3375690</v>
      </c>
      <c r="G4382" s="20">
        <v>3770900</v>
      </c>
      <c r="H4382" s="19">
        <v>3296590</v>
      </c>
    </row>
    <row r="4383" spans="1:8" ht="18" customHeight="1" x14ac:dyDescent="0.15">
      <c r="A4383" s="250"/>
      <c r="B4383" s="23" t="s">
        <v>82</v>
      </c>
      <c r="C4383" s="22">
        <v>2851</v>
      </c>
      <c r="D4383" s="21">
        <v>58375050</v>
      </c>
      <c r="E4383" s="21">
        <v>11878211</v>
      </c>
      <c r="F4383" s="20">
        <v>7569923</v>
      </c>
      <c r="G4383" s="20">
        <v>32842306</v>
      </c>
      <c r="H4383" s="19">
        <v>6084609</v>
      </c>
    </row>
    <row r="4384" spans="1:8" ht="18" customHeight="1" x14ac:dyDescent="0.15">
      <c r="A4384" s="250"/>
      <c r="B4384" s="23" t="s">
        <v>81</v>
      </c>
      <c r="C4384" s="22">
        <v>535</v>
      </c>
      <c r="D4384" s="21">
        <v>14629341</v>
      </c>
      <c r="E4384" s="21">
        <v>1767566</v>
      </c>
      <c r="F4384" s="20">
        <v>1392188</v>
      </c>
      <c r="G4384" s="20">
        <v>10312782</v>
      </c>
      <c r="H4384" s="19">
        <v>1156803</v>
      </c>
    </row>
    <row r="4385" spans="1:8" ht="18" customHeight="1" x14ac:dyDescent="0.15">
      <c r="A4385" s="250"/>
      <c r="B4385" s="23" t="s">
        <v>80</v>
      </c>
      <c r="C4385" s="22">
        <v>41702</v>
      </c>
      <c r="D4385" s="21">
        <v>11262779</v>
      </c>
      <c r="E4385" s="21">
        <v>387910</v>
      </c>
      <c r="F4385" s="20">
        <v>6074455</v>
      </c>
      <c r="G4385" s="20">
        <v>4567853</v>
      </c>
      <c r="H4385" s="19">
        <v>232560</v>
      </c>
    </row>
    <row r="4386" spans="1:8" ht="18" customHeight="1" x14ac:dyDescent="0.15">
      <c r="A4386" s="250"/>
      <c r="B4386" s="23" t="s">
        <v>79</v>
      </c>
      <c r="C4386" s="22">
        <v>115</v>
      </c>
      <c r="D4386" s="21">
        <v>1397831</v>
      </c>
      <c r="E4386" s="21">
        <v>6861</v>
      </c>
      <c r="F4386" s="20">
        <v>1100595</v>
      </c>
      <c r="G4386" s="20">
        <v>290375</v>
      </c>
      <c r="H4386" s="19">
        <v>0</v>
      </c>
    </row>
    <row r="4387" spans="1:8" ht="18" customHeight="1" x14ac:dyDescent="0.15">
      <c r="A4387" s="250"/>
      <c r="B4387" s="23" t="s">
        <v>78</v>
      </c>
      <c r="C4387" s="22">
        <v>43</v>
      </c>
      <c r="D4387" s="21">
        <v>652500</v>
      </c>
      <c r="E4387" s="21">
        <v>103393</v>
      </c>
      <c r="F4387" s="20">
        <v>83200</v>
      </c>
      <c r="G4387" s="20">
        <v>381707</v>
      </c>
      <c r="H4387" s="19">
        <v>84200</v>
      </c>
    </row>
    <row r="4388" spans="1:8" ht="18" customHeight="1" x14ac:dyDescent="0.15">
      <c r="A4388" s="250"/>
      <c r="B4388" s="23" t="s">
        <v>77</v>
      </c>
      <c r="C4388" s="22">
        <v>413</v>
      </c>
      <c r="D4388" s="21">
        <v>2192124</v>
      </c>
      <c r="E4388" s="21">
        <v>282676</v>
      </c>
      <c r="F4388" s="20">
        <v>1039092</v>
      </c>
      <c r="G4388" s="20">
        <v>760097</v>
      </c>
      <c r="H4388" s="19">
        <v>110257</v>
      </c>
    </row>
    <row r="4389" spans="1:8" ht="18" customHeight="1" x14ac:dyDescent="0.15">
      <c r="A4389" s="250"/>
      <c r="B4389" s="23" t="s">
        <v>76</v>
      </c>
      <c r="C4389" s="22">
        <v>350</v>
      </c>
      <c r="D4389" s="21">
        <v>9568051</v>
      </c>
      <c r="E4389" s="21">
        <v>970557</v>
      </c>
      <c r="F4389" s="20">
        <v>1863857</v>
      </c>
      <c r="G4389" s="20">
        <v>6120250</v>
      </c>
      <c r="H4389" s="19">
        <v>613387</v>
      </c>
    </row>
    <row r="4390" spans="1:8" ht="13.5" x14ac:dyDescent="0.15">
      <c r="A4390" s="250"/>
      <c r="B4390" s="23" t="s">
        <v>75</v>
      </c>
      <c r="C4390" s="22">
        <v>40</v>
      </c>
      <c r="D4390" s="21">
        <v>1874600</v>
      </c>
      <c r="E4390" s="21">
        <v>175500</v>
      </c>
      <c r="F4390" s="20">
        <v>689100</v>
      </c>
      <c r="G4390" s="20">
        <v>871900</v>
      </c>
      <c r="H4390" s="19">
        <v>138100</v>
      </c>
    </row>
    <row r="4391" spans="1:8" ht="18" customHeight="1" x14ac:dyDescent="0.15">
      <c r="A4391" s="250"/>
      <c r="B4391" s="23" t="s">
        <v>74</v>
      </c>
      <c r="C4391" s="22">
        <v>0</v>
      </c>
      <c r="D4391" s="21">
        <v>0</v>
      </c>
      <c r="E4391" s="21">
        <v>0</v>
      </c>
      <c r="F4391" s="20">
        <v>0</v>
      </c>
      <c r="G4391" s="20">
        <v>0</v>
      </c>
      <c r="H4391" s="19">
        <v>0</v>
      </c>
    </row>
    <row r="4392" spans="1:8" ht="18" customHeight="1" x14ac:dyDescent="0.15">
      <c r="A4392" s="250"/>
      <c r="B4392" s="23" t="s">
        <v>73</v>
      </c>
      <c r="C4392" s="22">
        <v>13</v>
      </c>
      <c r="D4392" s="21">
        <v>421300</v>
      </c>
      <c r="E4392" s="21">
        <v>200</v>
      </c>
      <c r="F4392" s="20">
        <v>132800</v>
      </c>
      <c r="G4392" s="20">
        <v>286200</v>
      </c>
      <c r="H4392" s="19">
        <v>2100</v>
      </c>
    </row>
    <row r="4393" spans="1:8" ht="18" customHeight="1" x14ac:dyDescent="0.15">
      <c r="A4393" s="250"/>
      <c r="B4393" s="23" t="s">
        <v>72</v>
      </c>
      <c r="C4393" s="22">
        <v>1</v>
      </c>
      <c r="D4393" s="21">
        <v>3000</v>
      </c>
      <c r="E4393" s="21">
        <v>100</v>
      </c>
      <c r="F4393" s="20">
        <v>500</v>
      </c>
      <c r="G4393" s="20">
        <v>1000</v>
      </c>
      <c r="H4393" s="19">
        <v>1400</v>
      </c>
    </row>
    <row r="4394" spans="1:8" ht="18" customHeight="1" x14ac:dyDescent="0.15">
      <c r="A4394" s="251"/>
      <c r="B4394" s="23" t="s">
        <v>71</v>
      </c>
      <c r="C4394" s="22">
        <v>11</v>
      </c>
      <c r="D4394" s="21">
        <v>6941</v>
      </c>
      <c r="E4394" s="21">
        <v>541</v>
      </c>
      <c r="F4394" s="20">
        <v>0</v>
      </c>
      <c r="G4394" s="20">
        <v>5900</v>
      </c>
      <c r="H4394" s="19">
        <v>500</v>
      </c>
    </row>
    <row r="4395" spans="1:8" ht="18" customHeight="1" x14ac:dyDescent="0.15">
      <c r="A4395" s="18" t="s">
        <v>70</v>
      </c>
      <c r="B4395" s="17" t="s">
        <v>69</v>
      </c>
      <c r="C4395" s="16">
        <v>4017</v>
      </c>
      <c r="D4395" s="15">
        <v>15938606</v>
      </c>
      <c r="E4395" s="15">
        <v>1260730</v>
      </c>
      <c r="F4395" s="14">
        <v>4284294</v>
      </c>
      <c r="G4395" s="14">
        <v>7804997</v>
      </c>
      <c r="H4395" s="13">
        <v>2588585</v>
      </c>
    </row>
    <row r="4396" spans="1:8" ht="13.5" x14ac:dyDescent="0.15">
      <c r="A4396" s="252" t="s">
        <v>68</v>
      </c>
      <c r="B4396" s="12" t="s">
        <v>67</v>
      </c>
      <c r="C4396" s="11">
        <v>5556</v>
      </c>
      <c r="D4396" s="10">
        <v>82149678</v>
      </c>
      <c r="E4396" s="10">
        <v>50524601</v>
      </c>
      <c r="F4396" s="9">
        <v>14173074</v>
      </c>
      <c r="G4396" s="9">
        <v>11306237</v>
      </c>
      <c r="H4396" s="8">
        <v>6145764</v>
      </c>
    </row>
    <row r="4397" spans="1:8" ht="18" customHeight="1" thickBot="1" x14ac:dyDescent="0.2">
      <c r="A4397" s="253"/>
      <c r="B4397" s="7" t="s">
        <v>66</v>
      </c>
      <c r="C4397" s="6">
        <v>3795</v>
      </c>
      <c r="D4397" s="5" t="s">
        <v>54</v>
      </c>
      <c r="E4397" s="5" t="s">
        <v>54</v>
      </c>
      <c r="F4397" s="5" t="s">
        <v>54</v>
      </c>
      <c r="G4397" s="5" t="s">
        <v>54</v>
      </c>
      <c r="H4397" s="4" t="s">
        <v>54</v>
      </c>
    </row>
    <row r="4398" spans="1:8" ht="18" customHeight="1" x14ac:dyDescent="0.15">
      <c r="A4398" s="3" t="s">
        <v>138</v>
      </c>
      <c r="B4398" s="2"/>
      <c r="C4398" s="2"/>
      <c r="D4398" s="2"/>
      <c r="E4398" s="2"/>
      <c r="F4398" s="2"/>
      <c r="G4398" s="2"/>
      <c r="H4398" s="2"/>
    </row>
    <row r="4399" spans="1:8" ht="24" x14ac:dyDescent="0.15">
      <c r="A4399" s="230" t="s">
        <v>137</v>
      </c>
      <c r="B4399" s="230"/>
      <c r="C4399" s="230"/>
      <c r="D4399" s="230"/>
      <c r="E4399" s="230"/>
      <c r="F4399" s="230"/>
      <c r="G4399" s="230"/>
      <c r="H4399" s="230"/>
    </row>
    <row r="4400" spans="1:8" ht="18" customHeight="1" x14ac:dyDescent="0.15">
      <c r="A4400" s="231"/>
      <c r="B4400" s="231"/>
      <c r="C4400" s="231"/>
      <c r="D4400" s="231"/>
      <c r="E4400" s="231"/>
      <c r="F4400" s="231"/>
      <c r="G4400" s="231"/>
      <c r="H4400" s="231"/>
    </row>
    <row r="4401" spans="1:8" ht="18" customHeight="1" thickBot="1" x14ac:dyDescent="0.2">
      <c r="A4401" s="58" t="s">
        <v>62</v>
      </c>
    </row>
    <row r="4402" spans="1:8" ht="14.25" x14ac:dyDescent="0.15">
      <c r="A4402" s="232" t="s">
        <v>61</v>
      </c>
      <c r="B4402" s="235" t="s">
        <v>110</v>
      </c>
      <c r="C4402" s="238" t="s">
        <v>109</v>
      </c>
      <c r="D4402" s="241" t="s">
        <v>108</v>
      </c>
      <c r="E4402" s="57"/>
      <c r="F4402" s="56"/>
      <c r="G4402" s="56"/>
      <c r="H4402" s="55"/>
    </row>
    <row r="4403" spans="1:8" ht="18" customHeight="1" x14ac:dyDescent="0.15">
      <c r="A4403" s="233"/>
      <c r="B4403" s="236"/>
      <c r="C4403" s="239"/>
      <c r="D4403" s="242"/>
      <c r="E4403" s="244" t="s">
        <v>107</v>
      </c>
      <c r="F4403" s="254" t="s">
        <v>106</v>
      </c>
      <c r="G4403" s="254" t="s">
        <v>105</v>
      </c>
      <c r="H4403" s="256" t="s">
        <v>104</v>
      </c>
    </row>
    <row r="4404" spans="1:8" ht="18" customHeight="1" thickBot="1" x14ac:dyDescent="0.2">
      <c r="A4404" s="234"/>
      <c r="B4404" s="237"/>
      <c r="C4404" s="240"/>
      <c r="D4404" s="243"/>
      <c r="E4404" s="245"/>
      <c r="F4404" s="255"/>
      <c r="G4404" s="255"/>
      <c r="H4404" s="257"/>
    </row>
    <row r="4405" spans="1:8" ht="15" thickTop="1" x14ac:dyDescent="0.15">
      <c r="A4405" s="54"/>
      <c r="B4405" s="53"/>
      <c r="C4405" s="52"/>
      <c r="D4405" s="51" t="s">
        <v>103</v>
      </c>
      <c r="E4405" s="50" t="s">
        <v>103</v>
      </c>
      <c r="F4405" s="49" t="s">
        <v>103</v>
      </c>
      <c r="G4405" s="49" t="s">
        <v>103</v>
      </c>
      <c r="H4405" s="48" t="s">
        <v>103</v>
      </c>
    </row>
    <row r="4406" spans="1:8" ht="18" customHeight="1" x14ac:dyDescent="0.15">
      <c r="A4406" s="250" t="s">
        <v>102</v>
      </c>
      <c r="B4406" s="47" t="s">
        <v>101</v>
      </c>
      <c r="C4406" s="46">
        <v>3616</v>
      </c>
      <c r="D4406" s="45">
        <v>627291842</v>
      </c>
      <c r="E4406" s="45">
        <v>230600389</v>
      </c>
      <c r="F4406" s="44">
        <v>201411773</v>
      </c>
      <c r="G4406" s="44">
        <v>187515081</v>
      </c>
      <c r="H4406" s="43">
        <v>7764598</v>
      </c>
    </row>
    <row r="4407" spans="1:8" ht="18" customHeight="1" x14ac:dyDescent="0.15">
      <c r="A4407" s="250"/>
      <c r="B4407" s="41" t="s">
        <v>100</v>
      </c>
      <c r="C4407" s="39">
        <v>28</v>
      </c>
      <c r="D4407" s="38">
        <v>278812</v>
      </c>
      <c r="E4407" s="38">
        <v>152578</v>
      </c>
      <c r="F4407" s="37">
        <v>92571</v>
      </c>
      <c r="G4407" s="37">
        <v>33662</v>
      </c>
      <c r="H4407" s="36">
        <v>0</v>
      </c>
    </row>
    <row r="4408" spans="1:8" ht="13.5" x14ac:dyDescent="0.15">
      <c r="A4408" s="250"/>
      <c r="B4408" s="41" t="s">
        <v>99</v>
      </c>
      <c r="C4408" s="39">
        <v>18</v>
      </c>
      <c r="D4408" s="38">
        <v>0</v>
      </c>
      <c r="E4408" s="38">
        <v>0</v>
      </c>
      <c r="F4408" s="37">
        <v>0</v>
      </c>
      <c r="G4408" s="37">
        <v>0</v>
      </c>
      <c r="H4408" s="36">
        <v>0</v>
      </c>
    </row>
    <row r="4409" spans="1:8" ht="18" customHeight="1" x14ac:dyDescent="0.15">
      <c r="A4409" s="250"/>
      <c r="B4409" s="42" t="s">
        <v>98</v>
      </c>
      <c r="C4409" s="34">
        <v>1</v>
      </c>
      <c r="D4409" s="33">
        <v>159208</v>
      </c>
      <c r="E4409" s="33">
        <v>121708</v>
      </c>
      <c r="F4409" s="32">
        <v>6775</v>
      </c>
      <c r="G4409" s="32">
        <v>29115</v>
      </c>
      <c r="H4409" s="31">
        <v>1608</v>
      </c>
    </row>
    <row r="4410" spans="1:8" ht="18" customHeight="1" x14ac:dyDescent="0.15">
      <c r="A4410" s="250"/>
      <c r="B4410" s="41" t="s">
        <v>97</v>
      </c>
      <c r="C4410" s="39">
        <v>54</v>
      </c>
      <c r="D4410" s="38">
        <v>10459394</v>
      </c>
      <c r="E4410" s="38">
        <v>3005321</v>
      </c>
      <c r="F4410" s="37">
        <v>2366966</v>
      </c>
      <c r="G4410" s="37">
        <v>5052124</v>
      </c>
      <c r="H4410" s="36">
        <v>34981</v>
      </c>
    </row>
    <row r="4411" spans="1:8" ht="13.5" x14ac:dyDescent="0.15">
      <c r="A4411" s="250"/>
      <c r="B4411" s="40" t="s">
        <v>96</v>
      </c>
      <c r="C4411" s="39">
        <v>134</v>
      </c>
      <c r="D4411" s="38">
        <v>15290920</v>
      </c>
      <c r="E4411" s="38">
        <v>3233047</v>
      </c>
      <c r="F4411" s="37">
        <v>1458164</v>
      </c>
      <c r="G4411" s="37">
        <v>10495601</v>
      </c>
      <c r="H4411" s="36">
        <v>104105</v>
      </c>
    </row>
    <row r="4412" spans="1:8" ht="18" customHeight="1" x14ac:dyDescent="0.15">
      <c r="A4412" s="251"/>
      <c r="B4412" s="35" t="s">
        <v>95</v>
      </c>
      <c r="C4412" s="34">
        <v>55</v>
      </c>
      <c r="D4412" s="33">
        <v>208163</v>
      </c>
      <c r="E4412" s="33">
        <v>192441</v>
      </c>
      <c r="F4412" s="32">
        <v>5534</v>
      </c>
      <c r="G4412" s="32">
        <v>7509</v>
      </c>
      <c r="H4412" s="31">
        <v>2678</v>
      </c>
    </row>
    <row r="4413" spans="1:8" ht="18" customHeight="1" x14ac:dyDescent="0.15">
      <c r="A4413" s="30" t="s">
        <v>94</v>
      </c>
      <c r="B4413" s="29" t="s">
        <v>93</v>
      </c>
      <c r="C4413" s="28">
        <v>38</v>
      </c>
      <c r="D4413" s="15">
        <v>119602</v>
      </c>
      <c r="E4413" s="15">
        <v>118459</v>
      </c>
      <c r="F4413" s="14">
        <v>990</v>
      </c>
      <c r="G4413" s="14">
        <v>48</v>
      </c>
      <c r="H4413" s="13">
        <v>104</v>
      </c>
    </row>
    <row r="4414" spans="1:8" ht="13.5" x14ac:dyDescent="0.15">
      <c r="A4414" s="252" t="s">
        <v>92</v>
      </c>
      <c r="B4414" s="17" t="s">
        <v>91</v>
      </c>
      <c r="C4414" s="16">
        <v>2947</v>
      </c>
      <c r="D4414" s="27">
        <v>58506876</v>
      </c>
      <c r="E4414" s="27">
        <v>9299007</v>
      </c>
      <c r="F4414" s="26">
        <v>6248120</v>
      </c>
      <c r="G4414" s="26">
        <v>35650826</v>
      </c>
      <c r="H4414" s="25">
        <v>7308921</v>
      </c>
    </row>
    <row r="4415" spans="1:8" ht="18" customHeight="1" x14ac:dyDescent="0.15">
      <c r="A4415" s="250"/>
      <c r="B4415" s="23" t="s">
        <v>90</v>
      </c>
      <c r="C4415" s="22">
        <v>2966</v>
      </c>
      <c r="D4415" s="21">
        <v>14484758</v>
      </c>
      <c r="E4415" s="21">
        <v>745521</v>
      </c>
      <c r="F4415" s="20">
        <v>2784592</v>
      </c>
      <c r="G4415" s="20">
        <v>8989797</v>
      </c>
      <c r="H4415" s="19">
        <v>1964847</v>
      </c>
    </row>
    <row r="4416" spans="1:8" ht="18" customHeight="1" x14ac:dyDescent="0.15">
      <c r="A4416" s="250"/>
      <c r="B4416" s="24" t="s">
        <v>89</v>
      </c>
      <c r="C4416" s="22">
        <v>612</v>
      </c>
      <c r="D4416" s="21">
        <v>35555587</v>
      </c>
      <c r="E4416" s="21">
        <v>2307253</v>
      </c>
      <c r="F4416" s="20">
        <v>4866046</v>
      </c>
      <c r="G4416" s="20">
        <v>22254522</v>
      </c>
      <c r="H4416" s="19">
        <v>6127765</v>
      </c>
    </row>
    <row r="4417" spans="1:8" ht="18" customHeight="1" x14ac:dyDescent="0.15">
      <c r="A4417" s="250"/>
      <c r="B4417" s="23" t="s">
        <v>88</v>
      </c>
      <c r="C4417" s="22">
        <v>1376</v>
      </c>
      <c r="D4417" s="21">
        <v>41994700</v>
      </c>
      <c r="E4417" s="21">
        <v>3986143</v>
      </c>
      <c r="F4417" s="20">
        <v>6417217</v>
      </c>
      <c r="G4417" s="20">
        <v>28106594</v>
      </c>
      <c r="H4417" s="19">
        <v>3484745</v>
      </c>
    </row>
    <row r="4418" spans="1:8" ht="18" customHeight="1" x14ac:dyDescent="0.15">
      <c r="A4418" s="250"/>
      <c r="B4418" s="23" t="s">
        <v>87</v>
      </c>
      <c r="C4418" s="22">
        <v>125</v>
      </c>
      <c r="D4418" s="21">
        <v>3856500</v>
      </c>
      <c r="E4418" s="21">
        <v>63027</v>
      </c>
      <c r="F4418" s="20">
        <v>163639</v>
      </c>
      <c r="G4418" s="20">
        <v>3564895</v>
      </c>
      <c r="H4418" s="19">
        <v>64938</v>
      </c>
    </row>
    <row r="4419" spans="1:8" ht="18" customHeight="1" x14ac:dyDescent="0.15">
      <c r="A4419" s="250"/>
      <c r="B4419" s="23" t="s">
        <v>86</v>
      </c>
      <c r="C4419" s="22">
        <v>92</v>
      </c>
      <c r="D4419" s="21">
        <v>983100</v>
      </c>
      <c r="E4419" s="21">
        <v>216680</v>
      </c>
      <c r="F4419" s="20">
        <v>44900</v>
      </c>
      <c r="G4419" s="20">
        <v>493500</v>
      </c>
      <c r="H4419" s="19">
        <v>228020</v>
      </c>
    </row>
    <row r="4420" spans="1:8" ht="18" customHeight="1" x14ac:dyDescent="0.15">
      <c r="A4420" s="250"/>
      <c r="B4420" s="23" t="s">
        <v>85</v>
      </c>
      <c r="C4420" s="22">
        <v>36</v>
      </c>
      <c r="D4420" s="21">
        <v>296706</v>
      </c>
      <c r="E4420" s="21">
        <v>120783</v>
      </c>
      <c r="F4420" s="20">
        <v>17246</v>
      </c>
      <c r="G4420" s="20">
        <v>102847</v>
      </c>
      <c r="H4420" s="19">
        <v>55829</v>
      </c>
    </row>
    <row r="4421" spans="1:8" ht="18" customHeight="1" x14ac:dyDescent="0.15">
      <c r="A4421" s="250"/>
      <c r="B4421" s="23" t="s">
        <v>84</v>
      </c>
      <c r="C4421" s="22">
        <v>0</v>
      </c>
      <c r="D4421" s="21">
        <v>0</v>
      </c>
      <c r="E4421" s="21">
        <v>0</v>
      </c>
      <c r="F4421" s="20">
        <v>0</v>
      </c>
      <c r="G4421" s="20">
        <v>0</v>
      </c>
      <c r="H4421" s="19">
        <v>0</v>
      </c>
    </row>
    <row r="4422" spans="1:8" ht="18" customHeight="1" x14ac:dyDescent="0.15">
      <c r="A4422" s="250"/>
      <c r="B4422" s="23" t="s">
        <v>83</v>
      </c>
      <c r="C4422" s="22">
        <v>269</v>
      </c>
      <c r="D4422" s="21">
        <v>11365650</v>
      </c>
      <c r="E4422" s="21">
        <v>867360</v>
      </c>
      <c r="F4422" s="20">
        <v>3385940</v>
      </c>
      <c r="G4422" s="20">
        <v>3792840</v>
      </c>
      <c r="H4422" s="19">
        <v>3319510</v>
      </c>
    </row>
    <row r="4423" spans="1:8" ht="18" customHeight="1" x14ac:dyDescent="0.15">
      <c r="A4423" s="250"/>
      <c r="B4423" s="23" t="s">
        <v>82</v>
      </c>
      <c r="C4423" s="22">
        <v>2846</v>
      </c>
      <c r="D4423" s="21">
        <v>58528735</v>
      </c>
      <c r="E4423" s="21">
        <v>11908914</v>
      </c>
      <c r="F4423" s="20">
        <v>7473423</v>
      </c>
      <c r="G4423" s="20">
        <v>33051968</v>
      </c>
      <c r="H4423" s="19">
        <v>6094429</v>
      </c>
    </row>
    <row r="4424" spans="1:8" ht="18" customHeight="1" x14ac:dyDescent="0.15">
      <c r="A4424" s="250"/>
      <c r="B4424" s="23" t="s">
        <v>81</v>
      </c>
      <c r="C4424" s="22">
        <v>535</v>
      </c>
      <c r="D4424" s="21">
        <v>14729341</v>
      </c>
      <c r="E4424" s="21">
        <v>1792989</v>
      </c>
      <c r="F4424" s="20">
        <v>1393893</v>
      </c>
      <c r="G4424" s="20">
        <v>10376954</v>
      </c>
      <c r="H4424" s="19">
        <v>1165503</v>
      </c>
    </row>
    <row r="4425" spans="1:8" ht="18" customHeight="1" x14ac:dyDescent="0.15">
      <c r="A4425" s="250"/>
      <c r="B4425" s="23" t="s">
        <v>80</v>
      </c>
      <c r="C4425" s="22">
        <v>41826</v>
      </c>
      <c r="D4425" s="21">
        <v>11307136</v>
      </c>
      <c r="E4425" s="21">
        <v>394810</v>
      </c>
      <c r="F4425" s="20">
        <v>6115006</v>
      </c>
      <c r="G4425" s="20">
        <v>4565729</v>
      </c>
      <c r="H4425" s="19">
        <v>231590</v>
      </c>
    </row>
    <row r="4426" spans="1:8" ht="18" customHeight="1" x14ac:dyDescent="0.15">
      <c r="A4426" s="250"/>
      <c r="B4426" s="23" t="s">
        <v>79</v>
      </c>
      <c r="C4426" s="22">
        <v>115</v>
      </c>
      <c r="D4426" s="21">
        <v>1394731</v>
      </c>
      <c r="E4426" s="21">
        <v>6861</v>
      </c>
      <c r="F4426" s="20">
        <v>1100595</v>
      </c>
      <c r="G4426" s="20">
        <v>287275</v>
      </c>
      <c r="H4426" s="19">
        <v>0</v>
      </c>
    </row>
    <row r="4427" spans="1:8" ht="18" customHeight="1" x14ac:dyDescent="0.15">
      <c r="A4427" s="250"/>
      <c r="B4427" s="23" t="s">
        <v>78</v>
      </c>
      <c r="C4427" s="22">
        <v>44</v>
      </c>
      <c r="D4427" s="21">
        <v>722500</v>
      </c>
      <c r="E4427" s="21">
        <v>111364</v>
      </c>
      <c r="F4427" s="20">
        <v>104000</v>
      </c>
      <c r="G4427" s="20">
        <v>413336</v>
      </c>
      <c r="H4427" s="19">
        <v>93800</v>
      </c>
    </row>
    <row r="4428" spans="1:8" ht="18" customHeight="1" x14ac:dyDescent="0.15">
      <c r="A4428" s="250"/>
      <c r="B4428" s="23" t="s">
        <v>77</v>
      </c>
      <c r="C4428" s="22">
        <v>419</v>
      </c>
      <c r="D4428" s="21">
        <v>2190012</v>
      </c>
      <c r="E4428" s="21">
        <v>283990</v>
      </c>
      <c r="F4428" s="20">
        <v>1066267</v>
      </c>
      <c r="G4428" s="20">
        <v>750997</v>
      </c>
      <c r="H4428" s="19">
        <v>88757</v>
      </c>
    </row>
    <row r="4429" spans="1:8" ht="18" customHeight="1" x14ac:dyDescent="0.15">
      <c r="A4429" s="250"/>
      <c r="B4429" s="23" t="s">
        <v>76</v>
      </c>
      <c r="C4429" s="22">
        <v>350</v>
      </c>
      <c r="D4429" s="21">
        <v>9568051</v>
      </c>
      <c r="E4429" s="21">
        <v>961277</v>
      </c>
      <c r="F4429" s="20">
        <v>1861937</v>
      </c>
      <c r="G4429" s="20">
        <v>6131050</v>
      </c>
      <c r="H4429" s="19">
        <v>613787</v>
      </c>
    </row>
    <row r="4430" spans="1:8" ht="13.5" x14ac:dyDescent="0.15">
      <c r="A4430" s="250"/>
      <c r="B4430" s="23" t="s">
        <v>75</v>
      </c>
      <c r="C4430" s="22">
        <v>37</v>
      </c>
      <c r="D4430" s="21">
        <v>1774600</v>
      </c>
      <c r="E4430" s="21">
        <v>158400</v>
      </c>
      <c r="F4430" s="20">
        <v>676400</v>
      </c>
      <c r="G4430" s="20">
        <v>806900</v>
      </c>
      <c r="H4430" s="19">
        <v>132900</v>
      </c>
    </row>
    <row r="4431" spans="1:8" ht="18" customHeight="1" x14ac:dyDescent="0.15">
      <c r="A4431" s="250"/>
      <c r="B4431" s="23" t="s">
        <v>74</v>
      </c>
      <c r="C4431" s="22">
        <v>0</v>
      </c>
      <c r="D4431" s="21">
        <v>0</v>
      </c>
      <c r="E4431" s="21">
        <v>0</v>
      </c>
      <c r="F4431" s="20">
        <v>0</v>
      </c>
      <c r="G4431" s="20">
        <v>0</v>
      </c>
      <c r="H4431" s="19">
        <v>0</v>
      </c>
    </row>
    <row r="4432" spans="1:8" ht="18" customHeight="1" x14ac:dyDescent="0.15">
      <c r="A4432" s="250"/>
      <c r="B4432" s="23" t="s">
        <v>73</v>
      </c>
      <c r="C4432" s="22">
        <v>13</v>
      </c>
      <c r="D4432" s="21">
        <v>421300</v>
      </c>
      <c r="E4432" s="21">
        <v>200</v>
      </c>
      <c r="F4432" s="20">
        <v>132800</v>
      </c>
      <c r="G4432" s="20">
        <v>286200</v>
      </c>
      <c r="H4432" s="19">
        <v>2100</v>
      </c>
    </row>
    <row r="4433" spans="1:8" ht="18" customHeight="1" x14ac:dyDescent="0.15">
      <c r="A4433" s="250"/>
      <c r="B4433" s="23" t="s">
        <v>72</v>
      </c>
      <c r="C4433" s="22">
        <v>1</v>
      </c>
      <c r="D4433" s="21">
        <v>3000</v>
      </c>
      <c r="E4433" s="21">
        <v>100</v>
      </c>
      <c r="F4433" s="20">
        <v>500</v>
      </c>
      <c r="G4433" s="20">
        <v>1000</v>
      </c>
      <c r="H4433" s="19">
        <v>1400</v>
      </c>
    </row>
    <row r="4434" spans="1:8" ht="18" customHeight="1" x14ac:dyDescent="0.15">
      <c r="A4434" s="251"/>
      <c r="B4434" s="23" t="s">
        <v>71</v>
      </c>
      <c r="C4434" s="22">
        <v>11</v>
      </c>
      <c r="D4434" s="21">
        <v>6941</v>
      </c>
      <c r="E4434" s="21">
        <v>541</v>
      </c>
      <c r="F4434" s="20">
        <v>0</v>
      </c>
      <c r="G4434" s="20">
        <v>5900</v>
      </c>
      <c r="H4434" s="19">
        <v>500</v>
      </c>
    </row>
    <row r="4435" spans="1:8" ht="18" customHeight="1" x14ac:dyDescent="0.15">
      <c r="A4435" s="18" t="s">
        <v>70</v>
      </c>
      <c r="B4435" s="17" t="s">
        <v>69</v>
      </c>
      <c r="C4435" s="16">
        <v>4063</v>
      </c>
      <c r="D4435" s="15">
        <v>16518824</v>
      </c>
      <c r="E4435" s="15">
        <v>1211780</v>
      </c>
      <c r="F4435" s="14">
        <v>4332767</v>
      </c>
      <c r="G4435" s="14">
        <v>8429997</v>
      </c>
      <c r="H4435" s="13">
        <v>2544280</v>
      </c>
    </row>
    <row r="4436" spans="1:8" ht="13.5" x14ac:dyDescent="0.15">
      <c r="A4436" s="252" t="s">
        <v>68</v>
      </c>
      <c r="B4436" s="12" t="s">
        <v>67</v>
      </c>
      <c r="C4436" s="11">
        <v>5532</v>
      </c>
      <c r="D4436" s="10">
        <v>86398430</v>
      </c>
      <c r="E4436" s="10">
        <v>53301960</v>
      </c>
      <c r="F4436" s="9">
        <v>14838308</v>
      </c>
      <c r="G4436" s="9">
        <v>11799477</v>
      </c>
      <c r="H4436" s="8">
        <v>6458683</v>
      </c>
    </row>
    <row r="4437" spans="1:8" ht="18" customHeight="1" thickBot="1" x14ac:dyDescent="0.2">
      <c r="A4437" s="253"/>
      <c r="B4437" s="7" t="s">
        <v>66</v>
      </c>
      <c r="C4437" s="6">
        <v>3769</v>
      </c>
      <c r="D4437" s="5" t="s">
        <v>65</v>
      </c>
      <c r="E4437" s="5" t="s">
        <v>65</v>
      </c>
      <c r="F4437" s="5" t="s">
        <v>65</v>
      </c>
      <c r="G4437" s="5" t="s">
        <v>65</v>
      </c>
      <c r="H4437" s="4" t="s">
        <v>65</v>
      </c>
    </row>
    <row r="4438" spans="1:8" ht="18" customHeight="1" x14ac:dyDescent="0.15">
      <c r="A4438" s="3" t="s">
        <v>136</v>
      </c>
      <c r="B4438" s="2"/>
      <c r="C4438" s="2"/>
      <c r="D4438" s="2"/>
      <c r="E4438" s="2"/>
      <c r="F4438" s="2"/>
      <c r="G4438" s="2"/>
      <c r="H4438" s="2"/>
    </row>
    <row r="4439" spans="1:8" ht="24" x14ac:dyDescent="0.15">
      <c r="A4439" s="230" t="s">
        <v>135</v>
      </c>
      <c r="B4439" s="230"/>
      <c r="C4439" s="230"/>
      <c r="D4439" s="230"/>
      <c r="E4439" s="230"/>
      <c r="F4439" s="230"/>
      <c r="G4439" s="230"/>
      <c r="H4439" s="230"/>
    </row>
    <row r="4440" spans="1:8" ht="18" customHeight="1" x14ac:dyDescent="0.15">
      <c r="A4440" s="231"/>
      <c r="B4440" s="231"/>
      <c r="C4440" s="231"/>
      <c r="D4440" s="231"/>
      <c r="E4440" s="231"/>
      <c r="F4440" s="231"/>
      <c r="G4440" s="231"/>
      <c r="H4440" s="231"/>
    </row>
    <row r="4441" spans="1:8" ht="18" customHeight="1" thickBot="1" x14ac:dyDescent="0.2">
      <c r="A4441" s="58" t="s">
        <v>62</v>
      </c>
    </row>
    <row r="4442" spans="1:8" ht="14.25" x14ac:dyDescent="0.15">
      <c r="A4442" s="232" t="s">
        <v>61</v>
      </c>
      <c r="B4442" s="235" t="s">
        <v>110</v>
      </c>
      <c r="C4442" s="238" t="s">
        <v>109</v>
      </c>
      <c r="D4442" s="241" t="s">
        <v>108</v>
      </c>
      <c r="E4442" s="57"/>
      <c r="F4442" s="56"/>
      <c r="G4442" s="56"/>
      <c r="H4442" s="55"/>
    </row>
    <row r="4443" spans="1:8" ht="18" customHeight="1" x14ac:dyDescent="0.15">
      <c r="A4443" s="233"/>
      <c r="B4443" s="236"/>
      <c r="C4443" s="239"/>
      <c r="D4443" s="242"/>
      <c r="E4443" s="244" t="s">
        <v>107</v>
      </c>
      <c r="F4443" s="254" t="s">
        <v>106</v>
      </c>
      <c r="G4443" s="254" t="s">
        <v>105</v>
      </c>
      <c r="H4443" s="256" t="s">
        <v>104</v>
      </c>
    </row>
    <row r="4444" spans="1:8" ht="18" customHeight="1" thickBot="1" x14ac:dyDescent="0.2">
      <c r="A4444" s="234"/>
      <c r="B4444" s="237"/>
      <c r="C4444" s="240"/>
      <c r="D4444" s="243"/>
      <c r="E4444" s="245"/>
      <c r="F4444" s="255"/>
      <c r="G4444" s="255"/>
      <c r="H4444" s="257"/>
    </row>
    <row r="4445" spans="1:8" ht="15" thickTop="1" x14ac:dyDescent="0.15">
      <c r="A4445" s="54"/>
      <c r="B4445" s="53"/>
      <c r="C4445" s="52"/>
      <c r="D4445" s="51" t="s">
        <v>103</v>
      </c>
      <c r="E4445" s="50" t="s">
        <v>103</v>
      </c>
      <c r="F4445" s="49" t="s">
        <v>103</v>
      </c>
      <c r="G4445" s="49" t="s">
        <v>103</v>
      </c>
      <c r="H4445" s="48" t="s">
        <v>103</v>
      </c>
    </row>
    <row r="4446" spans="1:8" ht="18" customHeight="1" x14ac:dyDescent="0.15">
      <c r="A4446" s="250" t="s">
        <v>102</v>
      </c>
      <c r="B4446" s="47" t="s">
        <v>101</v>
      </c>
      <c r="C4446" s="46">
        <v>3614</v>
      </c>
      <c r="D4446" s="45">
        <v>608409019</v>
      </c>
      <c r="E4446" s="45">
        <v>224473343</v>
      </c>
      <c r="F4446" s="44">
        <v>196143265</v>
      </c>
      <c r="G4446" s="44">
        <v>180428681</v>
      </c>
      <c r="H4446" s="43">
        <v>7363729</v>
      </c>
    </row>
    <row r="4447" spans="1:8" ht="18" customHeight="1" x14ac:dyDescent="0.15">
      <c r="A4447" s="250"/>
      <c r="B4447" s="41" t="s">
        <v>100</v>
      </c>
      <c r="C4447" s="39">
        <v>27</v>
      </c>
      <c r="D4447" s="38">
        <v>152162</v>
      </c>
      <c r="E4447" s="38">
        <v>61893</v>
      </c>
      <c r="F4447" s="37">
        <v>58836</v>
      </c>
      <c r="G4447" s="37">
        <v>31432</v>
      </c>
      <c r="H4447" s="36">
        <v>0</v>
      </c>
    </row>
    <row r="4448" spans="1:8" ht="13.5" x14ac:dyDescent="0.15">
      <c r="A4448" s="250"/>
      <c r="B4448" s="41" t="s">
        <v>99</v>
      </c>
      <c r="C4448" s="39">
        <v>20</v>
      </c>
      <c r="D4448" s="38">
        <v>0</v>
      </c>
      <c r="E4448" s="38">
        <v>0</v>
      </c>
      <c r="F4448" s="37">
        <v>0</v>
      </c>
      <c r="G4448" s="37">
        <v>0</v>
      </c>
      <c r="H4448" s="36">
        <v>0</v>
      </c>
    </row>
    <row r="4449" spans="1:8" ht="18" customHeight="1" x14ac:dyDescent="0.15">
      <c r="A4449" s="250"/>
      <c r="B4449" s="42" t="s">
        <v>98</v>
      </c>
      <c r="C4449" s="34">
        <v>1</v>
      </c>
      <c r="D4449" s="33">
        <v>158925</v>
      </c>
      <c r="E4449" s="33">
        <v>121574</v>
      </c>
      <c r="F4449" s="32">
        <v>6692</v>
      </c>
      <c r="G4449" s="32">
        <v>29054</v>
      </c>
      <c r="H4449" s="31">
        <v>1603</v>
      </c>
    </row>
    <row r="4450" spans="1:8" ht="18" customHeight="1" x14ac:dyDescent="0.15">
      <c r="A4450" s="250"/>
      <c r="B4450" s="41" t="s">
        <v>97</v>
      </c>
      <c r="C4450" s="39">
        <v>53</v>
      </c>
      <c r="D4450" s="38">
        <v>10571515</v>
      </c>
      <c r="E4450" s="38">
        <v>3057224</v>
      </c>
      <c r="F4450" s="37">
        <v>2342997</v>
      </c>
      <c r="G4450" s="37">
        <v>5134066</v>
      </c>
      <c r="H4450" s="36">
        <v>37225</v>
      </c>
    </row>
    <row r="4451" spans="1:8" ht="13.5" x14ac:dyDescent="0.15">
      <c r="A4451" s="250"/>
      <c r="B4451" s="40" t="s">
        <v>96</v>
      </c>
      <c r="C4451" s="39">
        <v>132</v>
      </c>
      <c r="D4451" s="38">
        <v>14530601</v>
      </c>
      <c r="E4451" s="38">
        <v>3039366</v>
      </c>
      <c r="F4451" s="37">
        <v>1441244</v>
      </c>
      <c r="G4451" s="37">
        <v>9970453</v>
      </c>
      <c r="H4451" s="36">
        <v>79538</v>
      </c>
    </row>
    <row r="4452" spans="1:8" ht="18" customHeight="1" x14ac:dyDescent="0.15">
      <c r="A4452" s="251"/>
      <c r="B4452" s="35" t="s">
        <v>95</v>
      </c>
      <c r="C4452" s="34">
        <v>55</v>
      </c>
      <c r="D4452" s="33">
        <v>204987</v>
      </c>
      <c r="E4452" s="33">
        <v>190506</v>
      </c>
      <c r="F4452" s="32">
        <v>6035</v>
      </c>
      <c r="G4452" s="32">
        <v>7251</v>
      </c>
      <c r="H4452" s="31">
        <v>1193</v>
      </c>
    </row>
    <row r="4453" spans="1:8" ht="18" customHeight="1" x14ac:dyDescent="0.15">
      <c r="A4453" s="30" t="s">
        <v>94</v>
      </c>
      <c r="B4453" s="29" t="s">
        <v>93</v>
      </c>
      <c r="C4453" s="28">
        <v>38</v>
      </c>
      <c r="D4453" s="15">
        <v>116324</v>
      </c>
      <c r="E4453" s="15">
        <v>114504</v>
      </c>
      <c r="F4453" s="14">
        <v>1619</v>
      </c>
      <c r="G4453" s="14">
        <v>43</v>
      </c>
      <c r="H4453" s="13">
        <v>156</v>
      </c>
    </row>
    <row r="4454" spans="1:8" ht="13.5" x14ac:dyDescent="0.15">
      <c r="A4454" s="252" t="s">
        <v>92</v>
      </c>
      <c r="B4454" s="17" t="s">
        <v>91</v>
      </c>
      <c r="C4454" s="16">
        <v>2938</v>
      </c>
      <c r="D4454" s="27">
        <v>58359795</v>
      </c>
      <c r="E4454" s="27">
        <v>9177798</v>
      </c>
      <c r="F4454" s="26">
        <v>6299668</v>
      </c>
      <c r="G4454" s="26">
        <v>35637057</v>
      </c>
      <c r="H4454" s="25">
        <v>7245271</v>
      </c>
    </row>
    <row r="4455" spans="1:8" ht="18" customHeight="1" x14ac:dyDescent="0.15">
      <c r="A4455" s="250"/>
      <c r="B4455" s="23" t="s">
        <v>90</v>
      </c>
      <c r="C4455" s="22">
        <v>2969</v>
      </c>
      <c r="D4455" s="21">
        <v>14496257</v>
      </c>
      <c r="E4455" s="21">
        <v>739319</v>
      </c>
      <c r="F4455" s="20">
        <v>2769064</v>
      </c>
      <c r="G4455" s="20">
        <v>9026029</v>
      </c>
      <c r="H4455" s="19">
        <v>1961844</v>
      </c>
    </row>
    <row r="4456" spans="1:8" ht="18" customHeight="1" x14ac:dyDescent="0.15">
      <c r="A4456" s="250"/>
      <c r="B4456" s="24" t="s">
        <v>89</v>
      </c>
      <c r="C4456" s="22">
        <v>611</v>
      </c>
      <c r="D4456" s="21">
        <v>35600587</v>
      </c>
      <c r="E4456" s="21">
        <v>2244869</v>
      </c>
      <c r="F4456" s="20">
        <v>4896717</v>
      </c>
      <c r="G4456" s="20">
        <v>22318744</v>
      </c>
      <c r="H4456" s="19">
        <v>6140256</v>
      </c>
    </row>
    <row r="4457" spans="1:8" ht="18" customHeight="1" x14ac:dyDescent="0.15">
      <c r="A4457" s="250"/>
      <c r="B4457" s="23" t="s">
        <v>88</v>
      </c>
      <c r="C4457" s="22">
        <v>1359</v>
      </c>
      <c r="D4457" s="21">
        <v>41678300</v>
      </c>
      <c r="E4457" s="21">
        <v>3879018</v>
      </c>
      <c r="F4457" s="20">
        <v>6350787</v>
      </c>
      <c r="G4457" s="20">
        <v>27949069</v>
      </c>
      <c r="H4457" s="19">
        <v>3499425</v>
      </c>
    </row>
    <row r="4458" spans="1:8" ht="18" customHeight="1" x14ac:dyDescent="0.15">
      <c r="A4458" s="250"/>
      <c r="B4458" s="23" t="s">
        <v>87</v>
      </c>
      <c r="C4458" s="22">
        <v>125</v>
      </c>
      <c r="D4458" s="21">
        <v>3901500</v>
      </c>
      <c r="E4458" s="21">
        <v>57138</v>
      </c>
      <c r="F4458" s="20">
        <v>166198</v>
      </c>
      <c r="G4458" s="20">
        <v>3613235</v>
      </c>
      <c r="H4458" s="19">
        <v>64928</v>
      </c>
    </row>
    <row r="4459" spans="1:8" ht="18" customHeight="1" x14ac:dyDescent="0.15">
      <c r="A4459" s="250"/>
      <c r="B4459" s="23" t="s">
        <v>86</v>
      </c>
      <c r="C4459" s="22">
        <v>92</v>
      </c>
      <c r="D4459" s="21">
        <v>983100</v>
      </c>
      <c r="E4459" s="21">
        <v>216780</v>
      </c>
      <c r="F4459" s="20">
        <v>45300</v>
      </c>
      <c r="G4459" s="20">
        <v>495100</v>
      </c>
      <c r="H4459" s="19">
        <v>225920</v>
      </c>
    </row>
    <row r="4460" spans="1:8" ht="18" customHeight="1" x14ac:dyDescent="0.15">
      <c r="A4460" s="250"/>
      <c r="B4460" s="23" t="s">
        <v>85</v>
      </c>
      <c r="C4460" s="22">
        <v>36</v>
      </c>
      <c r="D4460" s="21">
        <v>296706</v>
      </c>
      <c r="E4460" s="21">
        <v>122083</v>
      </c>
      <c r="F4460" s="20">
        <v>17246</v>
      </c>
      <c r="G4460" s="20">
        <v>101847</v>
      </c>
      <c r="H4460" s="19">
        <v>55529</v>
      </c>
    </row>
    <row r="4461" spans="1:8" ht="18" customHeight="1" x14ac:dyDescent="0.15">
      <c r="A4461" s="250"/>
      <c r="B4461" s="23" t="s">
        <v>84</v>
      </c>
      <c r="C4461" s="22">
        <v>0</v>
      </c>
      <c r="D4461" s="21">
        <v>0</v>
      </c>
      <c r="E4461" s="21">
        <v>0</v>
      </c>
      <c r="F4461" s="20">
        <v>0</v>
      </c>
      <c r="G4461" s="20">
        <v>0</v>
      </c>
      <c r="H4461" s="19">
        <v>0</v>
      </c>
    </row>
    <row r="4462" spans="1:8" ht="18" customHeight="1" x14ac:dyDescent="0.15">
      <c r="A4462" s="250"/>
      <c r="B4462" s="23" t="s">
        <v>83</v>
      </c>
      <c r="C4462" s="22">
        <v>270</v>
      </c>
      <c r="D4462" s="21">
        <v>11387640</v>
      </c>
      <c r="E4462" s="21">
        <v>845680</v>
      </c>
      <c r="F4462" s="20">
        <v>3385660</v>
      </c>
      <c r="G4462" s="20">
        <v>3793470</v>
      </c>
      <c r="H4462" s="19">
        <v>3362830</v>
      </c>
    </row>
    <row r="4463" spans="1:8" ht="18" customHeight="1" x14ac:dyDescent="0.15">
      <c r="A4463" s="250"/>
      <c r="B4463" s="23" t="s">
        <v>82</v>
      </c>
      <c r="C4463" s="22">
        <v>2840</v>
      </c>
      <c r="D4463" s="21">
        <v>58570523</v>
      </c>
      <c r="E4463" s="21">
        <v>11872511</v>
      </c>
      <c r="F4463" s="20">
        <v>7457573</v>
      </c>
      <c r="G4463" s="20">
        <v>33096977</v>
      </c>
      <c r="H4463" s="19">
        <v>6143460</v>
      </c>
    </row>
    <row r="4464" spans="1:8" ht="18" customHeight="1" x14ac:dyDescent="0.15">
      <c r="A4464" s="250"/>
      <c r="B4464" s="23" t="s">
        <v>81</v>
      </c>
      <c r="C4464" s="22">
        <v>531</v>
      </c>
      <c r="D4464" s="21">
        <v>14631726</v>
      </c>
      <c r="E4464" s="21">
        <v>1782922</v>
      </c>
      <c r="F4464" s="20">
        <v>1364226</v>
      </c>
      <c r="G4464" s="20">
        <v>10338530</v>
      </c>
      <c r="H4464" s="19">
        <v>1146046</v>
      </c>
    </row>
    <row r="4465" spans="1:8" ht="18" customHeight="1" x14ac:dyDescent="0.15">
      <c r="A4465" s="250"/>
      <c r="B4465" s="23" t="s">
        <v>80</v>
      </c>
      <c r="C4465" s="22">
        <v>41867</v>
      </c>
      <c r="D4465" s="21">
        <v>10760702</v>
      </c>
      <c r="E4465" s="21">
        <v>319460</v>
      </c>
      <c r="F4465" s="20">
        <v>6151386</v>
      </c>
      <c r="G4465" s="20">
        <v>4072155</v>
      </c>
      <c r="H4465" s="19">
        <v>217700</v>
      </c>
    </row>
    <row r="4466" spans="1:8" ht="18" customHeight="1" x14ac:dyDescent="0.15">
      <c r="A4466" s="250"/>
      <c r="B4466" s="23" t="s">
        <v>79</v>
      </c>
      <c r="C4466" s="22">
        <v>115</v>
      </c>
      <c r="D4466" s="21">
        <v>1387731</v>
      </c>
      <c r="E4466" s="21">
        <v>6861</v>
      </c>
      <c r="F4466" s="20">
        <v>1090595</v>
      </c>
      <c r="G4466" s="20">
        <v>290275</v>
      </c>
      <c r="H4466" s="19">
        <v>0</v>
      </c>
    </row>
    <row r="4467" spans="1:8" ht="18" customHeight="1" x14ac:dyDescent="0.15">
      <c r="A4467" s="250"/>
      <c r="B4467" s="23" t="s">
        <v>78</v>
      </c>
      <c r="C4467" s="22">
        <v>44</v>
      </c>
      <c r="D4467" s="21">
        <v>730800</v>
      </c>
      <c r="E4467" s="21">
        <v>110064</v>
      </c>
      <c r="F4467" s="20">
        <v>111100</v>
      </c>
      <c r="G4467" s="20">
        <v>415536</v>
      </c>
      <c r="H4467" s="19">
        <v>94100</v>
      </c>
    </row>
    <row r="4468" spans="1:8" ht="18" customHeight="1" x14ac:dyDescent="0.15">
      <c r="A4468" s="250"/>
      <c r="B4468" s="23" t="s">
        <v>77</v>
      </c>
      <c r="C4468" s="22">
        <v>420</v>
      </c>
      <c r="D4468" s="21">
        <v>2105914</v>
      </c>
      <c r="E4468" s="21">
        <v>301377</v>
      </c>
      <c r="F4468" s="20">
        <v>1068837</v>
      </c>
      <c r="G4468" s="20">
        <v>646942</v>
      </c>
      <c r="H4468" s="19">
        <v>88757</v>
      </c>
    </row>
    <row r="4469" spans="1:8" ht="18" customHeight="1" x14ac:dyDescent="0.15">
      <c r="A4469" s="250"/>
      <c r="B4469" s="23" t="s">
        <v>76</v>
      </c>
      <c r="C4469" s="22">
        <v>352</v>
      </c>
      <c r="D4469" s="21">
        <v>9635956</v>
      </c>
      <c r="E4469" s="21">
        <v>986662</v>
      </c>
      <c r="F4469" s="20">
        <v>1903756</v>
      </c>
      <c r="G4469" s="20">
        <v>6095150</v>
      </c>
      <c r="H4469" s="19">
        <v>650387</v>
      </c>
    </row>
    <row r="4470" spans="1:8" ht="18" customHeight="1" x14ac:dyDescent="0.15">
      <c r="A4470" s="250"/>
      <c r="B4470" s="23" t="s">
        <v>75</v>
      </c>
      <c r="C4470" s="22">
        <v>34</v>
      </c>
      <c r="D4470" s="21">
        <v>1693500</v>
      </c>
      <c r="E4470" s="21">
        <v>146200</v>
      </c>
      <c r="F4470" s="20">
        <v>660900</v>
      </c>
      <c r="G4470" s="20">
        <v>755300</v>
      </c>
      <c r="H4470" s="19">
        <v>131100</v>
      </c>
    </row>
    <row r="4471" spans="1:8" ht="18" customHeight="1" x14ac:dyDescent="0.15">
      <c r="A4471" s="250"/>
      <c r="B4471" s="23" t="s">
        <v>74</v>
      </c>
      <c r="C4471" s="22">
        <v>0</v>
      </c>
      <c r="D4471" s="21">
        <v>0</v>
      </c>
      <c r="E4471" s="21">
        <v>0</v>
      </c>
      <c r="F4471" s="20">
        <v>0</v>
      </c>
      <c r="G4471" s="20">
        <v>0</v>
      </c>
      <c r="H4471" s="19">
        <v>0</v>
      </c>
    </row>
    <row r="4472" spans="1:8" ht="18" customHeight="1" x14ac:dyDescent="0.15">
      <c r="A4472" s="250"/>
      <c r="B4472" s="23" t="s">
        <v>73</v>
      </c>
      <c r="C4472" s="22">
        <v>13</v>
      </c>
      <c r="D4472" s="21">
        <v>421300</v>
      </c>
      <c r="E4472" s="21">
        <v>200</v>
      </c>
      <c r="F4472" s="20">
        <v>132800</v>
      </c>
      <c r="G4472" s="20">
        <v>286200</v>
      </c>
      <c r="H4472" s="19">
        <v>2100</v>
      </c>
    </row>
    <row r="4473" spans="1:8" ht="18" customHeight="1" x14ac:dyDescent="0.15">
      <c r="A4473" s="250"/>
      <c r="B4473" s="23" t="s">
        <v>72</v>
      </c>
      <c r="C4473" s="22">
        <v>1</v>
      </c>
      <c r="D4473" s="21">
        <v>3000</v>
      </c>
      <c r="E4473" s="21">
        <v>100</v>
      </c>
      <c r="F4473" s="20">
        <v>500</v>
      </c>
      <c r="G4473" s="20">
        <v>1000</v>
      </c>
      <c r="H4473" s="19">
        <v>1400</v>
      </c>
    </row>
    <row r="4474" spans="1:8" ht="18" customHeight="1" x14ac:dyDescent="0.15">
      <c r="A4474" s="251"/>
      <c r="B4474" s="23" t="s">
        <v>71</v>
      </c>
      <c r="C4474" s="22">
        <v>11</v>
      </c>
      <c r="D4474" s="21">
        <v>6941</v>
      </c>
      <c r="E4474" s="21">
        <v>541</v>
      </c>
      <c r="F4474" s="20">
        <v>0</v>
      </c>
      <c r="G4474" s="20">
        <v>5900</v>
      </c>
      <c r="H4474" s="19">
        <v>500</v>
      </c>
    </row>
    <row r="4475" spans="1:8" ht="18" customHeight="1" x14ac:dyDescent="0.15">
      <c r="A4475" s="18" t="s">
        <v>70</v>
      </c>
      <c r="B4475" s="17" t="s">
        <v>69</v>
      </c>
      <c r="C4475" s="16">
        <v>3989</v>
      </c>
      <c r="D4475" s="15">
        <v>15630680</v>
      </c>
      <c r="E4475" s="15">
        <v>1169180</v>
      </c>
      <c r="F4475" s="14">
        <v>4239936</v>
      </c>
      <c r="G4475" s="14">
        <v>8183474</v>
      </c>
      <c r="H4475" s="13">
        <v>2038090</v>
      </c>
    </row>
    <row r="4476" spans="1:8" ht="13.5" x14ac:dyDescent="0.15">
      <c r="A4476" s="252" t="s">
        <v>68</v>
      </c>
      <c r="B4476" s="12" t="s">
        <v>67</v>
      </c>
      <c r="C4476" s="11">
        <v>5527</v>
      </c>
      <c r="D4476" s="10">
        <v>86699577</v>
      </c>
      <c r="E4476" s="10">
        <v>53800193</v>
      </c>
      <c r="F4476" s="9">
        <v>14787463</v>
      </c>
      <c r="G4476" s="9">
        <v>11717729</v>
      </c>
      <c r="H4476" s="8">
        <v>6394190</v>
      </c>
    </row>
    <row r="4477" spans="1:8" ht="18" customHeight="1" thickBot="1" x14ac:dyDescent="0.2">
      <c r="A4477" s="253"/>
      <c r="B4477" s="7" t="s">
        <v>66</v>
      </c>
      <c r="C4477" s="6">
        <v>3728</v>
      </c>
      <c r="D4477" s="5" t="s">
        <v>65</v>
      </c>
      <c r="E4477" s="5" t="s">
        <v>54</v>
      </c>
      <c r="F4477" s="5" t="s">
        <v>54</v>
      </c>
      <c r="G4477" s="5" t="s">
        <v>54</v>
      </c>
      <c r="H4477" s="4" t="s">
        <v>54</v>
      </c>
    </row>
    <row r="4478" spans="1:8" ht="18" customHeight="1" x14ac:dyDescent="0.15">
      <c r="A4478" s="3" t="s">
        <v>134</v>
      </c>
      <c r="B4478" s="2"/>
      <c r="C4478" s="2"/>
      <c r="D4478" s="2"/>
      <c r="E4478" s="2"/>
      <c r="F4478" s="2"/>
      <c r="G4478" s="2"/>
      <c r="H4478" s="2"/>
    </row>
    <row r="4479" spans="1:8" ht="24" x14ac:dyDescent="0.15">
      <c r="A4479" s="230" t="s">
        <v>133</v>
      </c>
      <c r="B4479" s="230"/>
      <c r="C4479" s="230"/>
      <c r="D4479" s="230"/>
      <c r="E4479" s="230"/>
      <c r="F4479" s="230"/>
      <c r="G4479" s="230"/>
      <c r="H4479" s="230"/>
    </row>
    <row r="4480" spans="1:8" ht="18" customHeight="1" x14ac:dyDescent="0.15">
      <c r="A4480" s="231"/>
      <c r="B4480" s="231"/>
      <c r="C4480" s="231"/>
      <c r="D4480" s="231"/>
      <c r="E4480" s="231"/>
      <c r="F4480" s="231"/>
      <c r="G4480" s="231"/>
      <c r="H4480" s="231"/>
    </row>
    <row r="4481" spans="1:8" ht="18" customHeight="1" thickBot="1" x14ac:dyDescent="0.2">
      <c r="A4481" s="58" t="s">
        <v>62</v>
      </c>
    </row>
    <row r="4482" spans="1:8" ht="14.25" x14ac:dyDescent="0.15">
      <c r="A4482" s="232" t="s">
        <v>61</v>
      </c>
      <c r="B4482" s="235" t="s">
        <v>110</v>
      </c>
      <c r="C4482" s="238" t="s">
        <v>109</v>
      </c>
      <c r="D4482" s="241" t="s">
        <v>108</v>
      </c>
      <c r="E4482" s="57"/>
      <c r="F4482" s="56"/>
      <c r="G4482" s="56"/>
      <c r="H4482" s="55"/>
    </row>
    <row r="4483" spans="1:8" ht="18" customHeight="1" x14ac:dyDescent="0.15">
      <c r="A4483" s="233"/>
      <c r="B4483" s="236"/>
      <c r="C4483" s="239"/>
      <c r="D4483" s="242"/>
      <c r="E4483" s="244" t="s">
        <v>107</v>
      </c>
      <c r="F4483" s="254" t="s">
        <v>106</v>
      </c>
      <c r="G4483" s="254" t="s">
        <v>105</v>
      </c>
      <c r="H4483" s="256" t="s">
        <v>104</v>
      </c>
    </row>
    <row r="4484" spans="1:8" ht="18" customHeight="1" thickBot="1" x14ac:dyDescent="0.2">
      <c r="A4484" s="234"/>
      <c r="B4484" s="237"/>
      <c r="C4484" s="240"/>
      <c r="D4484" s="243"/>
      <c r="E4484" s="245"/>
      <c r="F4484" s="255"/>
      <c r="G4484" s="255"/>
      <c r="H4484" s="257"/>
    </row>
    <row r="4485" spans="1:8" ht="15" thickTop="1" x14ac:dyDescent="0.15">
      <c r="A4485" s="54"/>
      <c r="B4485" s="53"/>
      <c r="C4485" s="52"/>
      <c r="D4485" s="51" t="s">
        <v>103</v>
      </c>
      <c r="E4485" s="50" t="s">
        <v>103</v>
      </c>
      <c r="F4485" s="49" t="s">
        <v>103</v>
      </c>
      <c r="G4485" s="49" t="s">
        <v>103</v>
      </c>
      <c r="H4485" s="48" t="s">
        <v>103</v>
      </c>
    </row>
    <row r="4486" spans="1:8" ht="18" customHeight="1" x14ac:dyDescent="0.15">
      <c r="A4486" s="250" t="s">
        <v>102</v>
      </c>
      <c r="B4486" s="47" t="s">
        <v>101</v>
      </c>
      <c r="C4486" s="46">
        <v>3610</v>
      </c>
      <c r="D4486" s="45">
        <v>627704203</v>
      </c>
      <c r="E4486" s="45">
        <v>229538269</v>
      </c>
      <c r="F4486" s="44">
        <v>203860240</v>
      </c>
      <c r="G4486" s="44">
        <v>186263512</v>
      </c>
      <c r="H4486" s="43">
        <v>8042180</v>
      </c>
    </row>
    <row r="4487" spans="1:8" ht="18" customHeight="1" x14ac:dyDescent="0.15">
      <c r="A4487" s="250"/>
      <c r="B4487" s="41" t="s">
        <v>100</v>
      </c>
      <c r="C4487" s="39">
        <v>25</v>
      </c>
      <c r="D4487" s="38">
        <v>158868</v>
      </c>
      <c r="E4487" s="38">
        <v>66415</v>
      </c>
      <c r="F4487" s="37">
        <v>63043</v>
      </c>
      <c r="G4487" s="37">
        <v>29409</v>
      </c>
      <c r="H4487" s="36">
        <v>0</v>
      </c>
    </row>
    <row r="4488" spans="1:8" ht="13.5" x14ac:dyDescent="0.15">
      <c r="A4488" s="250"/>
      <c r="B4488" s="41" t="s">
        <v>99</v>
      </c>
      <c r="C4488" s="39">
        <v>21</v>
      </c>
      <c r="D4488" s="38">
        <v>0</v>
      </c>
      <c r="E4488" s="38">
        <v>0</v>
      </c>
      <c r="F4488" s="37">
        <v>0</v>
      </c>
      <c r="G4488" s="37">
        <v>0</v>
      </c>
      <c r="H4488" s="36">
        <v>0</v>
      </c>
    </row>
    <row r="4489" spans="1:8" ht="18" customHeight="1" x14ac:dyDescent="0.15">
      <c r="A4489" s="250"/>
      <c r="B4489" s="42" t="s">
        <v>98</v>
      </c>
      <c r="C4489" s="34">
        <v>1</v>
      </c>
      <c r="D4489" s="33">
        <v>160058</v>
      </c>
      <c r="E4489" s="33">
        <v>122477</v>
      </c>
      <c r="F4489" s="32">
        <v>6705</v>
      </c>
      <c r="G4489" s="32">
        <v>29261</v>
      </c>
      <c r="H4489" s="31">
        <v>1613</v>
      </c>
    </row>
    <row r="4490" spans="1:8" ht="18" customHeight="1" x14ac:dyDescent="0.15">
      <c r="A4490" s="250"/>
      <c r="B4490" s="41" t="s">
        <v>97</v>
      </c>
      <c r="C4490" s="39">
        <v>52</v>
      </c>
      <c r="D4490" s="38">
        <v>10864710</v>
      </c>
      <c r="E4490" s="38">
        <v>3163064</v>
      </c>
      <c r="F4490" s="37">
        <v>2453084</v>
      </c>
      <c r="G4490" s="37">
        <v>5214119</v>
      </c>
      <c r="H4490" s="36">
        <v>34441</v>
      </c>
    </row>
    <row r="4491" spans="1:8" ht="13.5" x14ac:dyDescent="0.15">
      <c r="A4491" s="250"/>
      <c r="B4491" s="40" t="s">
        <v>96</v>
      </c>
      <c r="C4491" s="39">
        <v>132</v>
      </c>
      <c r="D4491" s="38">
        <v>14401203</v>
      </c>
      <c r="E4491" s="38">
        <v>3056139</v>
      </c>
      <c r="F4491" s="37">
        <v>1394678</v>
      </c>
      <c r="G4491" s="37">
        <v>9858616</v>
      </c>
      <c r="H4491" s="36">
        <v>91770</v>
      </c>
    </row>
    <row r="4492" spans="1:8" ht="18" customHeight="1" x14ac:dyDescent="0.15">
      <c r="A4492" s="251"/>
      <c r="B4492" s="35" t="s">
        <v>95</v>
      </c>
      <c r="C4492" s="34">
        <v>55</v>
      </c>
      <c r="D4492" s="33">
        <v>234732</v>
      </c>
      <c r="E4492" s="33">
        <v>219032</v>
      </c>
      <c r="F4492" s="32">
        <v>5686</v>
      </c>
      <c r="G4492" s="32">
        <v>8644</v>
      </c>
      <c r="H4492" s="31">
        <v>1369</v>
      </c>
    </row>
    <row r="4493" spans="1:8" ht="18" customHeight="1" x14ac:dyDescent="0.15">
      <c r="A4493" s="30" t="s">
        <v>94</v>
      </c>
      <c r="B4493" s="29" t="s">
        <v>93</v>
      </c>
      <c r="C4493" s="28">
        <v>38</v>
      </c>
      <c r="D4493" s="15">
        <v>111642</v>
      </c>
      <c r="E4493" s="15">
        <v>109236</v>
      </c>
      <c r="F4493" s="14">
        <v>2178</v>
      </c>
      <c r="G4493" s="14">
        <v>30</v>
      </c>
      <c r="H4493" s="13">
        <v>197</v>
      </c>
    </row>
    <row r="4494" spans="1:8" ht="13.5" x14ac:dyDescent="0.15">
      <c r="A4494" s="252" t="s">
        <v>92</v>
      </c>
      <c r="B4494" s="17" t="s">
        <v>91</v>
      </c>
      <c r="C4494" s="16">
        <v>2935</v>
      </c>
      <c r="D4494" s="27">
        <v>58471750</v>
      </c>
      <c r="E4494" s="27">
        <v>9201283</v>
      </c>
      <c r="F4494" s="26">
        <v>6312899</v>
      </c>
      <c r="G4494" s="26">
        <v>35826968</v>
      </c>
      <c r="H4494" s="25">
        <v>7130598</v>
      </c>
    </row>
    <row r="4495" spans="1:8" ht="18" customHeight="1" x14ac:dyDescent="0.15">
      <c r="A4495" s="250"/>
      <c r="B4495" s="23" t="s">
        <v>90</v>
      </c>
      <c r="C4495" s="22">
        <v>2972</v>
      </c>
      <c r="D4495" s="21">
        <v>14519626</v>
      </c>
      <c r="E4495" s="21">
        <v>784244</v>
      </c>
      <c r="F4495" s="20">
        <v>2609684</v>
      </c>
      <c r="G4495" s="20">
        <v>9184148</v>
      </c>
      <c r="H4495" s="19">
        <v>1941549</v>
      </c>
    </row>
    <row r="4496" spans="1:8" ht="18" customHeight="1" x14ac:dyDescent="0.15">
      <c r="A4496" s="250"/>
      <c r="B4496" s="24" t="s">
        <v>89</v>
      </c>
      <c r="C4496" s="22">
        <v>611</v>
      </c>
      <c r="D4496" s="21">
        <v>35749987</v>
      </c>
      <c r="E4496" s="21">
        <v>2208167</v>
      </c>
      <c r="F4496" s="20">
        <v>4859254</v>
      </c>
      <c r="G4496" s="20">
        <v>22545017</v>
      </c>
      <c r="H4496" s="19">
        <v>6137548</v>
      </c>
    </row>
    <row r="4497" spans="1:8" ht="18" customHeight="1" x14ac:dyDescent="0.15">
      <c r="A4497" s="250"/>
      <c r="B4497" s="23" t="s">
        <v>88</v>
      </c>
      <c r="C4497" s="22">
        <v>1359</v>
      </c>
      <c r="D4497" s="21">
        <v>41857200</v>
      </c>
      <c r="E4497" s="21">
        <v>3844160</v>
      </c>
      <c r="F4497" s="20">
        <v>6361187</v>
      </c>
      <c r="G4497" s="20">
        <v>28116447</v>
      </c>
      <c r="H4497" s="19">
        <v>3535405</v>
      </c>
    </row>
    <row r="4498" spans="1:8" ht="18" customHeight="1" x14ac:dyDescent="0.15">
      <c r="A4498" s="250"/>
      <c r="B4498" s="23" t="s">
        <v>87</v>
      </c>
      <c r="C4498" s="22">
        <v>125</v>
      </c>
      <c r="D4498" s="21">
        <v>3929200</v>
      </c>
      <c r="E4498" s="21">
        <v>59845</v>
      </c>
      <c r="F4498" s="20">
        <v>174327</v>
      </c>
      <c r="G4498" s="20">
        <v>3625037</v>
      </c>
      <c r="H4498" s="19">
        <v>69989</v>
      </c>
    </row>
    <row r="4499" spans="1:8" ht="18" customHeight="1" x14ac:dyDescent="0.15">
      <c r="A4499" s="250"/>
      <c r="B4499" s="23" t="s">
        <v>86</v>
      </c>
      <c r="C4499" s="22">
        <v>92</v>
      </c>
      <c r="D4499" s="21">
        <v>983100</v>
      </c>
      <c r="E4499" s="21">
        <v>213980</v>
      </c>
      <c r="F4499" s="20">
        <v>45500</v>
      </c>
      <c r="G4499" s="20">
        <v>497000</v>
      </c>
      <c r="H4499" s="19">
        <v>226620</v>
      </c>
    </row>
    <row r="4500" spans="1:8" ht="18" customHeight="1" x14ac:dyDescent="0.15">
      <c r="A4500" s="250"/>
      <c r="B4500" s="23" t="s">
        <v>85</v>
      </c>
      <c r="C4500" s="22">
        <v>36</v>
      </c>
      <c r="D4500" s="21">
        <v>296706</v>
      </c>
      <c r="E4500" s="21">
        <v>118903</v>
      </c>
      <c r="F4500" s="20">
        <v>21326</v>
      </c>
      <c r="G4500" s="20">
        <v>101847</v>
      </c>
      <c r="H4500" s="19">
        <v>54629</v>
      </c>
    </row>
    <row r="4501" spans="1:8" ht="18" customHeight="1" x14ac:dyDescent="0.15">
      <c r="A4501" s="250"/>
      <c r="B4501" s="23" t="s">
        <v>84</v>
      </c>
      <c r="C4501" s="22">
        <v>0</v>
      </c>
      <c r="D4501" s="21">
        <v>0</v>
      </c>
      <c r="E4501" s="21">
        <v>0</v>
      </c>
      <c r="F4501" s="20">
        <v>0</v>
      </c>
      <c r="G4501" s="20">
        <v>0</v>
      </c>
      <c r="H4501" s="19">
        <v>0</v>
      </c>
    </row>
    <row r="4502" spans="1:8" ht="18" customHeight="1" x14ac:dyDescent="0.15">
      <c r="A4502" s="250"/>
      <c r="B4502" s="23" t="s">
        <v>83</v>
      </c>
      <c r="C4502" s="22">
        <v>270</v>
      </c>
      <c r="D4502" s="21">
        <v>11387670</v>
      </c>
      <c r="E4502" s="21">
        <v>886870</v>
      </c>
      <c r="F4502" s="20">
        <v>3350250</v>
      </c>
      <c r="G4502" s="20">
        <v>3789480</v>
      </c>
      <c r="H4502" s="19">
        <v>3361070</v>
      </c>
    </row>
    <row r="4503" spans="1:8" ht="18" customHeight="1" x14ac:dyDescent="0.15">
      <c r="A4503" s="250"/>
      <c r="B4503" s="23" t="s">
        <v>82</v>
      </c>
      <c r="C4503" s="22">
        <v>2838</v>
      </c>
      <c r="D4503" s="21">
        <v>58628340</v>
      </c>
      <c r="E4503" s="21">
        <v>11721765</v>
      </c>
      <c r="F4503" s="20">
        <v>7541907</v>
      </c>
      <c r="G4503" s="20">
        <v>33227849</v>
      </c>
      <c r="H4503" s="19">
        <v>6136816</v>
      </c>
    </row>
    <row r="4504" spans="1:8" ht="18" customHeight="1" x14ac:dyDescent="0.15">
      <c r="A4504" s="250"/>
      <c r="B4504" s="23" t="s">
        <v>81</v>
      </c>
      <c r="C4504" s="22">
        <v>536</v>
      </c>
      <c r="D4504" s="21">
        <v>14810056</v>
      </c>
      <c r="E4504" s="21">
        <v>1812253</v>
      </c>
      <c r="F4504" s="20">
        <v>1411019</v>
      </c>
      <c r="G4504" s="20">
        <v>10446734</v>
      </c>
      <c r="H4504" s="19">
        <v>1140049</v>
      </c>
    </row>
    <row r="4505" spans="1:8" ht="18" customHeight="1" x14ac:dyDescent="0.15">
      <c r="A4505" s="250"/>
      <c r="B4505" s="23" t="s">
        <v>80</v>
      </c>
      <c r="C4505" s="22">
        <v>41848</v>
      </c>
      <c r="D4505" s="21">
        <v>10770063</v>
      </c>
      <c r="E4505" s="21">
        <v>318310</v>
      </c>
      <c r="F4505" s="20">
        <v>6164311</v>
      </c>
      <c r="G4505" s="20">
        <v>4070571</v>
      </c>
      <c r="H4505" s="19">
        <v>216870</v>
      </c>
    </row>
    <row r="4506" spans="1:8" ht="18" customHeight="1" x14ac:dyDescent="0.15">
      <c r="A4506" s="250"/>
      <c r="B4506" s="23" t="s">
        <v>79</v>
      </c>
      <c r="C4506" s="22">
        <v>116</v>
      </c>
      <c r="D4506" s="21">
        <v>1388231</v>
      </c>
      <c r="E4506" s="21">
        <v>6861</v>
      </c>
      <c r="F4506" s="20">
        <v>1090595</v>
      </c>
      <c r="G4506" s="20">
        <v>290775</v>
      </c>
      <c r="H4506" s="19">
        <v>0</v>
      </c>
    </row>
    <row r="4507" spans="1:8" ht="18" customHeight="1" x14ac:dyDescent="0.15">
      <c r="A4507" s="250"/>
      <c r="B4507" s="23" t="s">
        <v>78</v>
      </c>
      <c r="C4507" s="22">
        <v>44</v>
      </c>
      <c r="D4507" s="21">
        <v>730800</v>
      </c>
      <c r="E4507" s="21">
        <v>110164</v>
      </c>
      <c r="F4507" s="20">
        <v>111100</v>
      </c>
      <c r="G4507" s="20">
        <v>415436</v>
      </c>
      <c r="H4507" s="19">
        <v>94100</v>
      </c>
    </row>
    <row r="4508" spans="1:8" ht="18" customHeight="1" x14ac:dyDescent="0.15">
      <c r="A4508" s="250"/>
      <c r="B4508" s="23" t="s">
        <v>77</v>
      </c>
      <c r="C4508" s="22">
        <v>420</v>
      </c>
      <c r="D4508" s="21">
        <v>2150267</v>
      </c>
      <c r="E4508" s="21">
        <v>320850</v>
      </c>
      <c r="F4508" s="20">
        <v>1078317</v>
      </c>
      <c r="G4508" s="20">
        <v>659842</v>
      </c>
      <c r="H4508" s="19">
        <v>91257</v>
      </c>
    </row>
    <row r="4509" spans="1:8" ht="18" customHeight="1" x14ac:dyDescent="0.15">
      <c r="A4509" s="250"/>
      <c r="B4509" s="23" t="s">
        <v>76</v>
      </c>
      <c r="C4509" s="22">
        <v>347</v>
      </c>
      <c r="D4509" s="21">
        <v>9377856</v>
      </c>
      <c r="E4509" s="21">
        <v>974287</v>
      </c>
      <c r="F4509" s="20">
        <v>1916866</v>
      </c>
      <c r="G4509" s="20">
        <v>5846014</v>
      </c>
      <c r="H4509" s="19">
        <v>640687</v>
      </c>
    </row>
    <row r="4510" spans="1:8" ht="18" customHeight="1" x14ac:dyDescent="0.15">
      <c r="A4510" s="250"/>
      <c r="B4510" s="23" t="s">
        <v>75</v>
      </c>
      <c r="C4510" s="22">
        <v>34</v>
      </c>
      <c r="D4510" s="21">
        <v>1693500</v>
      </c>
      <c r="E4510" s="21">
        <v>145700</v>
      </c>
      <c r="F4510" s="20">
        <v>660900</v>
      </c>
      <c r="G4510" s="20">
        <v>755800</v>
      </c>
      <c r="H4510" s="19">
        <v>131100</v>
      </c>
    </row>
    <row r="4511" spans="1:8" ht="18" customHeight="1" x14ac:dyDescent="0.15">
      <c r="A4511" s="250"/>
      <c r="B4511" s="23" t="s">
        <v>74</v>
      </c>
      <c r="C4511" s="22">
        <v>0</v>
      </c>
      <c r="D4511" s="21">
        <v>0</v>
      </c>
      <c r="E4511" s="21">
        <v>0</v>
      </c>
      <c r="F4511" s="20">
        <v>0</v>
      </c>
      <c r="G4511" s="20">
        <v>0</v>
      </c>
      <c r="H4511" s="19">
        <v>0</v>
      </c>
    </row>
    <row r="4512" spans="1:8" ht="18" customHeight="1" x14ac:dyDescent="0.15">
      <c r="A4512" s="250"/>
      <c r="B4512" s="23" t="s">
        <v>73</v>
      </c>
      <c r="C4512" s="22">
        <v>13</v>
      </c>
      <c r="D4512" s="21">
        <v>421300</v>
      </c>
      <c r="E4512" s="21">
        <v>200</v>
      </c>
      <c r="F4512" s="20">
        <v>132800</v>
      </c>
      <c r="G4512" s="20">
        <v>286200</v>
      </c>
      <c r="H4512" s="19">
        <v>2100</v>
      </c>
    </row>
    <row r="4513" spans="1:8" ht="18" customHeight="1" x14ac:dyDescent="0.15">
      <c r="A4513" s="250"/>
      <c r="B4513" s="23" t="s">
        <v>72</v>
      </c>
      <c r="C4513" s="22">
        <v>1</v>
      </c>
      <c r="D4513" s="21">
        <v>3000</v>
      </c>
      <c r="E4513" s="21">
        <v>100</v>
      </c>
      <c r="F4513" s="20">
        <v>500</v>
      </c>
      <c r="G4513" s="20">
        <v>1000</v>
      </c>
      <c r="H4513" s="19">
        <v>1400</v>
      </c>
    </row>
    <row r="4514" spans="1:8" ht="18" customHeight="1" x14ac:dyDescent="0.15">
      <c r="A4514" s="251"/>
      <c r="B4514" s="23" t="s">
        <v>71</v>
      </c>
      <c r="C4514" s="22">
        <v>11</v>
      </c>
      <c r="D4514" s="21">
        <v>6941</v>
      </c>
      <c r="E4514" s="21">
        <v>541</v>
      </c>
      <c r="F4514" s="20">
        <v>0</v>
      </c>
      <c r="G4514" s="20">
        <v>5900</v>
      </c>
      <c r="H4514" s="19">
        <v>500</v>
      </c>
    </row>
    <row r="4515" spans="1:8" ht="18" customHeight="1" x14ac:dyDescent="0.15">
      <c r="A4515" s="18" t="s">
        <v>70</v>
      </c>
      <c r="B4515" s="17" t="s">
        <v>69</v>
      </c>
      <c r="C4515" s="16">
        <v>3950</v>
      </c>
      <c r="D4515" s="15">
        <v>15943323</v>
      </c>
      <c r="E4515" s="15">
        <v>1301280</v>
      </c>
      <c r="F4515" s="14">
        <v>4183106</v>
      </c>
      <c r="G4515" s="14">
        <v>7993478</v>
      </c>
      <c r="H4515" s="13">
        <v>2465459</v>
      </c>
    </row>
    <row r="4516" spans="1:8" ht="13.5" x14ac:dyDescent="0.15">
      <c r="A4516" s="252" t="s">
        <v>68</v>
      </c>
      <c r="B4516" s="12" t="s">
        <v>67</v>
      </c>
      <c r="C4516" s="11">
        <v>5491</v>
      </c>
      <c r="D4516" s="10">
        <v>88495721</v>
      </c>
      <c r="E4516" s="10">
        <v>54770587</v>
      </c>
      <c r="F4516" s="9">
        <v>15228991</v>
      </c>
      <c r="G4516" s="9">
        <v>11945340</v>
      </c>
      <c r="H4516" s="8">
        <v>6550801</v>
      </c>
    </row>
    <row r="4517" spans="1:8" ht="18" customHeight="1" thickBot="1" x14ac:dyDescent="0.2">
      <c r="A4517" s="253"/>
      <c r="B4517" s="7" t="s">
        <v>66</v>
      </c>
      <c r="C4517" s="6">
        <v>3667</v>
      </c>
      <c r="D4517" s="5" t="s">
        <v>65</v>
      </c>
      <c r="E4517" s="5" t="s">
        <v>54</v>
      </c>
      <c r="F4517" s="5" t="s">
        <v>54</v>
      </c>
      <c r="G4517" s="5" t="s">
        <v>54</v>
      </c>
      <c r="H4517" s="4" t="s">
        <v>54</v>
      </c>
    </row>
    <row r="4518" spans="1:8" ht="18" customHeight="1" x14ac:dyDescent="0.15">
      <c r="A4518" s="3" t="s">
        <v>132</v>
      </c>
      <c r="B4518" s="2"/>
      <c r="C4518" s="2"/>
      <c r="D4518" s="2"/>
      <c r="E4518" s="2"/>
      <c r="F4518" s="2"/>
      <c r="G4518" s="2"/>
      <c r="H4518" s="2"/>
    </row>
    <row r="4519" spans="1:8" ht="24" x14ac:dyDescent="0.15">
      <c r="A4519" s="230" t="s">
        <v>131</v>
      </c>
      <c r="B4519" s="230"/>
      <c r="C4519" s="230"/>
      <c r="D4519" s="230"/>
      <c r="E4519" s="230"/>
      <c r="F4519" s="230"/>
      <c r="G4519" s="230"/>
      <c r="H4519" s="230"/>
    </row>
    <row r="4520" spans="1:8" ht="18" customHeight="1" x14ac:dyDescent="0.15">
      <c r="A4520" s="231"/>
      <c r="B4520" s="231"/>
      <c r="C4520" s="231"/>
      <c r="D4520" s="231"/>
      <c r="E4520" s="231"/>
      <c r="F4520" s="231"/>
      <c r="G4520" s="231"/>
      <c r="H4520" s="231"/>
    </row>
    <row r="4521" spans="1:8" ht="18" customHeight="1" thickBot="1" x14ac:dyDescent="0.2">
      <c r="A4521" s="58" t="s">
        <v>62</v>
      </c>
    </row>
    <row r="4522" spans="1:8" ht="14.25" x14ac:dyDescent="0.15">
      <c r="A4522" s="232" t="s">
        <v>61</v>
      </c>
      <c r="B4522" s="235" t="s">
        <v>110</v>
      </c>
      <c r="C4522" s="238" t="s">
        <v>109</v>
      </c>
      <c r="D4522" s="241" t="s">
        <v>108</v>
      </c>
      <c r="E4522" s="57"/>
      <c r="F4522" s="56"/>
      <c r="G4522" s="56"/>
      <c r="H4522" s="55"/>
    </row>
    <row r="4523" spans="1:8" ht="18" customHeight="1" x14ac:dyDescent="0.15">
      <c r="A4523" s="233"/>
      <c r="B4523" s="236"/>
      <c r="C4523" s="239"/>
      <c r="D4523" s="242"/>
      <c r="E4523" s="244" t="s">
        <v>107</v>
      </c>
      <c r="F4523" s="254" t="s">
        <v>106</v>
      </c>
      <c r="G4523" s="254" t="s">
        <v>105</v>
      </c>
      <c r="H4523" s="256" t="s">
        <v>104</v>
      </c>
    </row>
    <row r="4524" spans="1:8" ht="18" customHeight="1" thickBot="1" x14ac:dyDescent="0.2">
      <c r="A4524" s="234"/>
      <c r="B4524" s="237"/>
      <c r="C4524" s="240"/>
      <c r="D4524" s="243"/>
      <c r="E4524" s="245"/>
      <c r="F4524" s="255"/>
      <c r="G4524" s="255"/>
      <c r="H4524" s="257"/>
    </row>
    <row r="4525" spans="1:8" ht="15" thickTop="1" x14ac:dyDescent="0.15">
      <c r="A4525" s="54"/>
      <c r="B4525" s="53"/>
      <c r="C4525" s="52"/>
      <c r="D4525" s="51" t="s">
        <v>103</v>
      </c>
      <c r="E4525" s="50" t="s">
        <v>103</v>
      </c>
      <c r="F4525" s="49" t="s">
        <v>103</v>
      </c>
      <c r="G4525" s="49" t="s">
        <v>103</v>
      </c>
      <c r="H4525" s="48" t="s">
        <v>103</v>
      </c>
    </row>
    <row r="4526" spans="1:8" ht="18" customHeight="1" x14ac:dyDescent="0.15">
      <c r="A4526" s="250" t="s">
        <v>102</v>
      </c>
      <c r="B4526" s="47" t="s">
        <v>101</v>
      </c>
      <c r="C4526" s="46">
        <v>3612</v>
      </c>
      <c r="D4526" s="45">
        <v>598567049</v>
      </c>
      <c r="E4526" s="45">
        <v>221254950</v>
      </c>
      <c r="F4526" s="44">
        <v>192277761</v>
      </c>
      <c r="G4526" s="44">
        <v>177340058</v>
      </c>
      <c r="H4526" s="43">
        <v>7694279</v>
      </c>
    </row>
    <row r="4527" spans="1:8" ht="18" customHeight="1" x14ac:dyDescent="0.15">
      <c r="A4527" s="250"/>
      <c r="B4527" s="41" t="s">
        <v>100</v>
      </c>
      <c r="C4527" s="39">
        <v>24</v>
      </c>
      <c r="D4527" s="38">
        <v>152127</v>
      </c>
      <c r="E4527" s="38">
        <v>67934</v>
      </c>
      <c r="F4527" s="37">
        <v>56583</v>
      </c>
      <c r="G4527" s="37">
        <v>27169</v>
      </c>
      <c r="H4527" s="36">
        <v>439</v>
      </c>
    </row>
    <row r="4528" spans="1:8" ht="13.5" x14ac:dyDescent="0.15">
      <c r="A4528" s="250"/>
      <c r="B4528" s="41" t="s">
        <v>99</v>
      </c>
      <c r="C4528" s="39">
        <v>23</v>
      </c>
      <c r="D4528" s="38">
        <v>0</v>
      </c>
      <c r="E4528" s="38">
        <v>0</v>
      </c>
      <c r="F4528" s="37">
        <v>0</v>
      </c>
      <c r="G4528" s="37">
        <v>0</v>
      </c>
      <c r="H4528" s="36">
        <v>0</v>
      </c>
    </row>
    <row r="4529" spans="1:8" ht="18" customHeight="1" x14ac:dyDescent="0.15">
      <c r="A4529" s="250"/>
      <c r="B4529" s="42" t="s">
        <v>98</v>
      </c>
      <c r="C4529" s="34">
        <v>1</v>
      </c>
      <c r="D4529" s="33">
        <v>164095</v>
      </c>
      <c r="E4529" s="33">
        <v>125657</v>
      </c>
      <c r="F4529" s="32">
        <v>6784</v>
      </c>
      <c r="G4529" s="32">
        <v>29998</v>
      </c>
      <c r="H4529" s="31">
        <v>1654</v>
      </c>
    </row>
    <row r="4530" spans="1:8" ht="18" customHeight="1" x14ac:dyDescent="0.15">
      <c r="A4530" s="250"/>
      <c r="B4530" s="41" t="s">
        <v>97</v>
      </c>
      <c r="C4530" s="39">
        <v>52</v>
      </c>
      <c r="D4530" s="38">
        <v>10839309</v>
      </c>
      <c r="E4530" s="38">
        <v>3137232</v>
      </c>
      <c r="F4530" s="37">
        <v>2513606</v>
      </c>
      <c r="G4530" s="37">
        <v>5158844</v>
      </c>
      <c r="H4530" s="36">
        <v>29625</v>
      </c>
    </row>
    <row r="4531" spans="1:8" ht="13.5" x14ac:dyDescent="0.15">
      <c r="A4531" s="250"/>
      <c r="B4531" s="40" t="s">
        <v>96</v>
      </c>
      <c r="C4531" s="39">
        <v>132</v>
      </c>
      <c r="D4531" s="38">
        <v>13190064</v>
      </c>
      <c r="E4531" s="38">
        <v>2906335</v>
      </c>
      <c r="F4531" s="37">
        <v>1343415</v>
      </c>
      <c r="G4531" s="37">
        <v>8847228</v>
      </c>
      <c r="H4531" s="36">
        <v>93084</v>
      </c>
    </row>
    <row r="4532" spans="1:8" ht="18" customHeight="1" x14ac:dyDescent="0.15">
      <c r="A4532" s="251"/>
      <c r="B4532" s="35" t="s">
        <v>95</v>
      </c>
      <c r="C4532" s="34">
        <v>55</v>
      </c>
      <c r="D4532" s="33">
        <v>230344</v>
      </c>
      <c r="E4532" s="33">
        <v>211102</v>
      </c>
      <c r="F4532" s="32">
        <v>7263</v>
      </c>
      <c r="G4532" s="32">
        <v>9856</v>
      </c>
      <c r="H4532" s="31">
        <v>2122</v>
      </c>
    </row>
    <row r="4533" spans="1:8" ht="18" customHeight="1" x14ac:dyDescent="0.15">
      <c r="A4533" s="30" t="s">
        <v>94</v>
      </c>
      <c r="B4533" s="29" t="s">
        <v>93</v>
      </c>
      <c r="C4533" s="28">
        <v>38</v>
      </c>
      <c r="D4533" s="15">
        <v>111115</v>
      </c>
      <c r="E4533" s="15">
        <v>108284</v>
      </c>
      <c r="F4533" s="14">
        <v>2678</v>
      </c>
      <c r="G4533" s="14">
        <v>4</v>
      </c>
      <c r="H4533" s="13">
        <v>148</v>
      </c>
    </row>
    <row r="4534" spans="1:8" ht="13.5" x14ac:dyDescent="0.15">
      <c r="A4534" s="252" t="s">
        <v>92</v>
      </c>
      <c r="B4534" s="17" t="s">
        <v>91</v>
      </c>
      <c r="C4534" s="16">
        <v>2922</v>
      </c>
      <c r="D4534" s="27">
        <v>58236563</v>
      </c>
      <c r="E4534" s="27">
        <v>9103939</v>
      </c>
      <c r="F4534" s="26">
        <v>6325794</v>
      </c>
      <c r="G4534" s="26">
        <v>35808586</v>
      </c>
      <c r="H4534" s="25">
        <v>6998242</v>
      </c>
    </row>
    <row r="4535" spans="1:8" ht="18" customHeight="1" x14ac:dyDescent="0.15">
      <c r="A4535" s="250"/>
      <c r="B4535" s="23" t="s">
        <v>90</v>
      </c>
      <c r="C4535" s="22">
        <v>3050</v>
      </c>
      <c r="D4535" s="21">
        <v>14730927</v>
      </c>
      <c r="E4535" s="21">
        <v>758407</v>
      </c>
      <c r="F4535" s="20">
        <v>2717099</v>
      </c>
      <c r="G4535" s="20">
        <v>9316306</v>
      </c>
      <c r="H4535" s="19">
        <v>1939114</v>
      </c>
    </row>
    <row r="4536" spans="1:8" ht="18" customHeight="1" x14ac:dyDescent="0.15">
      <c r="A4536" s="250"/>
      <c r="B4536" s="24" t="s">
        <v>89</v>
      </c>
      <c r="C4536" s="22">
        <v>610</v>
      </c>
      <c r="D4536" s="21">
        <v>35946882</v>
      </c>
      <c r="E4536" s="21">
        <v>2267113</v>
      </c>
      <c r="F4536" s="20">
        <v>4850525</v>
      </c>
      <c r="G4536" s="20">
        <v>22742582</v>
      </c>
      <c r="H4536" s="19">
        <v>6086661</v>
      </c>
    </row>
    <row r="4537" spans="1:8" ht="18" customHeight="1" x14ac:dyDescent="0.15">
      <c r="A4537" s="250"/>
      <c r="B4537" s="23" t="s">
        <v>88</v>
      </c>
      <c r="C4537" s="22">
        <v>1346</v>
      </c>
      <c r="D4537" s="21">
        <v>41344300</v>
      </c>
      <c r="E4537" s="21">
        <v>3729482</v>
      </c>
      <c r="F4537" s="20">
        <v>6346597</v>
      </c>
      <c r="G4537" s="20">
        <v>27790635</v>
      </c>
      <c r="H4537" s="19">
        <v>3477585</v>
      </c>
    </row>
    <row r="4538" spans="1:8" ht="18" customHeight="1" x14ac:dyDescent="0.15">
      <c r="A4538" s="250"/>
      <c r="B4538" s="23" t="s">
        <v>87</v>
      </c>
      <c r="C4538" s="22">
        <v>125</v>
      </c>
      <c r="D4538" s="21">
        <v>3939200</v>
      </c>
      <c r="E4538" s="21">
        <v>57326</v>
      </c>
      <c r="F4538" s="20">
        <v>177905</v>
      </c>
      <c r="G4538" s="20">
        <v>3631006</v>
      </c>
      <c r="H4538" s="19">
        <v>72960</v>
      </c>
    </row>
    <row r="4539" spans="1:8" ht="18" customHeight="1" x14ac:dyDescent="0.15">
      <c r="A4539" s="250"/>
      <c r="B4539" s="23" t="s">
        <v>86</v>
      </c>
      <c r="C4539" s="22">
        <v>92</v>
      </c>
      <c r="D4539" s="21">
        <v>983100</v>
      </c>
      <c r="E4539" s="21">
        <v>214280</v>
      </c>
      <c r="F4539" s="20">
        <v>45700</v>
      </c>
      <c r="G4539" s="20">
        <v>499400</v>
      </c>
      <c r="H4539" s="19">
        <v>223720</v>
      </c>
    </row>
    <row r="4540" spans="1:8" ht="18" customHeight="1" x14ac:dyDescent="0.15">
      <c r="A4540" s="250"/>
      <c r="B4540" s="23" t="s">
        <v>85</v>
      </c>
      <c r="C4540" s="22">
        <v>36</v>
      </c>
      <c r="D4540" s="21">
        <v>296706</v>
      </c>
      <c r="E4540" s="21">
        <v>118903</v>
      </c>
      <c r="F4540" s="20">
        <v>21326</v>
      </c>
      <c r="G4540" s="20">
        <v>101847</v>
      </c>
      <c r="H4540" s="19">
        <v>54629</v>
      </c>
    </row>
    <row r="4541" spans="1:8" ht="18" customHeight="1" x14ac:dyDescent="0.15">
      <c r="A4541" s="250"/>
      <c r="B4541" s="23" t="s">
        <v>84</v>
      </c>
      <c r="C4541" s="22">
        <v>0</v>
      </c>
      <c r="D4541" s="21">
        <v>0</v>
      </c>
      <c r="E4541" s="21">
        <v>0</v>
      </c>
      <c r="F4541" s="20">
        <v>0</v>
      </c>
      <c r="G4541" s="20">
        <v>0</v>
      </c>
      <c r="H4541" s="19">
        <v>0</v>
      </c>
    </row>
    <row r="4542" spans="1:8" ht="18" customHeight="1" x14ac:dyDescent="0.15">
      <c r="A4542" s="250"/>
      <c r="B4542" s="23" t="s">
        <v>83</v>
      </c>
      <c r="C4542" s="22">
        <v>271</v>
      </c>
      <c r="D4542" s="21">
        <v>11429250</v>
      </c>
      <c r="E4542" s="21">
        <v>869080</v>
      </c>
      <c r="F4542" s="20">
        <v>3393050</v>
      </c>
      <c r="G4542" s="20">
        <v>3807590</v>
      </c>
      <c r="H4542" s="19">
        <v>3359530</v>
      </c>
    </row>
    <row r="4543" spans="1:8" ht="18" customHeight="1" x14ac:dyDescent="0.15">
      <c r="A4543" s="250"/>
      <c r="B4543" s="23" t="s">
        <v>82</v>
      </c>
      <c r="C4543" s="22">
        <v>2840</v>
      </c>
      <c r="D4543" s="21">
        <v>58785841</v>
      </c>
      <c r="E4543" s="21">
        <v>11716153</v>
      </c>
      <c r="F4543" s="20">
        <v>7520991</v>
      </c>
      <c r="G4543" s="20">
        <v>33423515</v>
      </c>
      <c r="H4543" s="19">
        <v>6125180</v>
      </c>
    </row>
    <row r="4544" spans="1:8" ht="18" customHeight="1" x14ac:dyDescent="0.15">
      <c r="A4544" s="250"/>
      <c r="B4544" s="23" t="s">
        <v>81</v>
      </c>
      <c r="C4544" s="22">
        <v>542</v>
      </c>
      <c r="D4544" s="21">
        <v>15012286</v>
      </c>
      <c r="E4544" s="21">
        <v>1861201</v>
      </c>
      <c r="F4544" s="20">
        <v>1429814</v>
      </c>
      <c r="G4544" s="20">
        <v>10588303</v>
      </c>
      <c r="H4544" s="19">
        <v>1132966</v>
      </c>
    </row>
    <row r="4545" spans="1:8" ht="18" customHeight="1" x14ac:dyDescent="0.15">
      <c r="A4545" s="250"/>
      <c r="B4545" s="23" t="s">
        <v>80</v>
      </c>
      <c r="C4545" s="22">
        <v>41925</v>
      </c>
      <c r="D4545" s="21">
        <v>10794798</v>
      </c>
      <c r="E4545" s="21">
        <v>327610</v>
      </c>
      <c r="F4545" s="20">
        <v>6185654</v>
      </c>
      <c r="G4545" s="20">
        <v>4066823</v>
      </c>
      <c r="H4545" s="19">
        <v>214710</v>
      </c>
    </row>
    <row r="4546" spans="1:8" ht="18" customHeight="1" x14ac:dyDescent="0.15">
      <c r="A4546" s="250"/>
      <c r="B4546" s="23" t="s">
        <v>79</v>
      </c>
      <c r="C4546" s="22">
        <v>117</v>
      </c>
      <c r="D4546" s="21">
        <v>1398631</v>
      </c>
      <c r="E4546" s="21">
        <v>6861</v>
      </c>
      <c r="F4546" s="20">
        <v>1092795</v>
      </c>
      <c r="G4546" s="20">
        <v>298975</v>
      </c>
      <c r="H4546" s="19">
        <v>0</v>
      </c>
    </row>
    <row r="4547" spans="1:8" ht="18" customHeight="1" x14ac:dyDescent="0.15">
      <c r="A4547" s="250"/>
      <c r="B4547" s="23" t="s">
        <v>78</v>
      </c>
      <c r="C4547" s="22">
        <v>44</v>
      </c>
      <c r="D4547" s="21">
        <v>730800</v>
      </c>
      <c r="E4547" s="21">
        <v>110264</v>
      </c>
      <c r="F4547" s="20">
        <v>111300</v>
      </c>
      <c r="G4547" s="20">
        <v>415336</v>
      </c>
      <c r="H4547" s="19">
        <v>93900</v>
      </c>
    </row>
    <row r="4548" spans="1:8" ht="18" customHeight="1" x14ac:dyDescent="0.15">
      <c r="A4548" s="250"/>
      <c r="B4548" s="23" t="s">
        <v>77</v>
      </c>
      <c r="C4548" s="22">
        <v>438</v>
      </c>
      <c r="D4548" s="21">
        <v>2205770</v>
      </c>
      <c r="E4548" s="21">
        <v>334800</v>
      </c>
      <c r="F4548" s="20">
        <v>1113363</v>
      </c>
      <c r="G4548" s="20">
        <v>666349</v>
      </c>
      <c r="H4548" s="19">
        <v>91257</v>
      </c>
    </row>
    <row r="4549" spans="1:8" ht="18" customHeight="1" x14ac:dyDescent="0.15">
      <c r="A4549" s="250"/>
      <c r="B4549" s="23" t="s">
        <v>76</v>
      </c>
      <c r="C4549" s="22">
        <v>348</v>
      </c>
      <c r="D4549" s="21">
        <v>9355956</v>
      </c>
      <c r="E4549" s="21">
        <v>968587</v>
      </c>
      <c r="F4549" s="20">
        <v>1914166</v>
      </c>
      <c r="G4549" s="20">
        <v>5826914</v>
      </c>
      <c r="H4549" s="19">
        <v>646287</v>
      </c>
    </row>
    <row r="4550" spans="1:8" ht="18" customHeight="1" x14ac:dyDescent="0.15">
      <c r="A4550" s="250"/>
      <c r="B4550" s="23" t="s">
        <v>75</v>
      </c>
      <c r="C4550" s="22">
        <v>36</v>
      </c>
      <c r="D4550" s="21">
        <v>1698800</v>
      </c>
      <c r="E4550" s="21">
        <v>145700</v>
      </c>
      <c r="F4550" s="20">
        <v>660900</v>
      </c>
      <c r="G4550" s="20">
        <v>761600</v>
      </c>
      <c r="H4550" s="19">
        <v>130600</v>
      </c>
    </row>
    <row r="4551" spans="1:8" ht="18" customHeight="1" x14ac:dyDescent="0.15">
      <c r="A4551" s="250"/>
      <c r="B4551" s="23" t="s">
        <v>74</v>
      </c>
      <c r="C4551" s="22">
        <v>0</v>
      </c>
      <c r="D4551" s="21">
        <v>0</v>
      </c>
      <c r="E4551" s="21">
        <v>0</v>
      </c>
      <c r="F4551" s="20">
        <v>0</v>
      </c>
      <c r="G4551" s="20">
        <v>0</v>
      </c>
      <c r="H4551" s="19">
        <v>0</v>
      </c>
    </row>
    <row r="4552" spans="1:8" ht="18" customHeight="1" x14ac:dyDescent="0.15">
      <c r="A4552" s="250"/>
      <c r="B4552" s="23" t="s">
        <v>73</v>
      </c>
      <c r="C4552" s="22">
        <v>13</v>
      </c>
      <c r="D4552" s="21">
        <v>421300</v>
      </c>
      <c r="E4552" s="21">
        <v>200</v>
      </c>
      <c r="F4552" s="20">
        <v>132800</v>
      </c>
      <c r="G4552" s="20">
        <v>286200</v>
      </c>
      <c r="H4552" s="19">
        <v>2100</v>
      </c>
    </row>
    <row r="4553" spans="1:8" ht="18" customHeight="1" x14ac:dyDescent="0.15">
      <c r="A4553" s="250"/>
      <c r="B4553" s="23" t="s">
        <v>72</v>
      </c>
      <c r="C4553" s="22">
        <v>1</v>
      </c>
      <c r="D4553" s="21">
        <v>3000</v>
      </c>
      <c r="E4553" s="21">
        <v>100</v>
      </c>
      <c r="F4553" s="20">
        <v>500</v>
      </c>
      <c r="G4553" s="20">
        <v>1000</v>
      </c>
      <c r="H4553" s="19">
        <v>1400</v>
      </c>
    </row>
    <row r="4554" spans="1:8" ht="18" customHeight="1" x14ac:dyDescent="0.15">
      <c r="A4554" s="251"/>
      <c r="B4554" s="23" t="s">
        <v>71</v>
      </c>
      <c r="C4554" s="22">
        <v>11</v>
      </c>
      <c r="D4554" s="21">
        <v>6941</v>
      </c>
      <c r="E4554" s="21">
        <v>541</v>
      </c>
      <c r="F4554" s="20">
        <v>0</v>
      </c>
      <c r="G4554" s="20">
        <v>5900</v>
      </c>
      <c r="H4554" s="19">
        <v>500</v>
      </c>
    </row>
    <row r="4555" spans="1:8" ht="18" customHeight="1" x14ac:dyDescent="0.15">
      <c r="A4555" s="18" t="s">
        <v>70</v>
      </c>
      <c r="B4555" s="17" t="s">
        <v>69</v>
      </c>
      <c r="C4555" s="16">
        <v>3865</v>
      </c>
      <c r="D4555" s="15">
        <v>15794398</v>
      </c>
      <c r="E4555" s="15">
        <v>1242480</v>
      </c>
      <c r="F4555" s="14">
        <v>4540501</v>
      </c>
      <c r="G4555" s="14">
        <v>7788617</v>
      </c>
      <c r="H4555" s="13">
        <v>2222800</v>
      </c>
    </row>
    <row r="4556" spans="1:8" ht="18" customHeight="1" x14ac:dyDescent="0.15">
      <c r="A4556" s="252" t="s">
        <v>68</v>
      </c>
      <c r="B4556" s="12" t="s">
        <v>67</v>
      </c>
      <c r="C4556" s="11">
        <v>5458</v>
      </c>
      <c r="D4556" s="10">
        <v>86307332</v>
      </c>
      <c r="E4556" s="10">
        <v>53210339</v>
      </c>
      <c r="F4556" s="9">
        <v>14972233</v>
      </c>
      <c r="G4556" s="9">
        <v>11727140</v>
      </c>
      <c r="H4556" s="8">
        <v>6397619</v>
      </c>
    </row>
    <row r="4557" spans="1:8" ht="18" customHeight="1" thickBot="1" x14ac:dyDescent="0.2">
      <c r="A4557" s="253"/>
      <c r="B4557" s="7" t="s">
        <v>66</v>
      </c>
      <c r="C4557" s="6">
        <v>3603</v>
      </c>
      <c r="D4557" s="5" t="s">
        <v>65</v>
      </c>
      <c r="E4557" s="5" t="s">
        <v>54</v>
      </c>
      <c r="F4557" s="5" t="s">
        <v>54</v>
      </c>
      <c r="G4557" s="5" t="s">
        <v>54</v>
      </c>
      <c r="H4557" s="4" t="s">
        <v>54</v>
      </c>
    </row>
    <row r="4558" spans="1:8" ht="18" customHeight="1" x14ac:dyDescent="0.15">
      <c r="A4558" s="3" t="s">
        <v>130</v>
      </c>
      <c r="B4558" s="2"/>
      <c r="C4558" s="2"/>
      <c r="D4558" s="2"/>
      <c r="E4558" s="2"/>
      <c r="F4558" s="2"/>
      <c r="G4558" s="2"/>
      <c r="H4558" s="2"/>
    </row>
    <row r="4559" spans="1:8" ht="24" customHeight="1" x14ac:dyDescent="0.15">
      <c r="A4559" s="230" t="s">
        <v>129</v>
      </c>
      <c r="B4559" s="230"/>
      <c r="C4559" s="230"/>
      <c r="D4559" s="230"/>
      <c r="E4559" s="230"/>
      <c r="F4559" s="230"/>
      <c r="G4559" s="230"/>
      <c r="H4559" s="230"/>
    </row>
    <row r="4560" spans="1:8" ht="18" customHeight="1" x14ac:dyDescent="0.15">
      <c r="A4560" s="231"/>
      <c r="B4560" s="231"/>
      <c r="C4560" s="231"/>
      <c r="D4560" s="231"/>
      <c r="E4560" s="231"/>
      <c r="F4560" s="231"/>
      <c r="G4560" s="231"/>
      <c r="H4560" s="231"/>
    </row>
    <row r="4561" spans="1:8" ht="18" customHeight="1" thickBot="1" x14ac:dyDescent="0.2">
      <c r="A4561" s="58" t="s">
        <v>62</v>
      </c>
    </row>
    <row r="4562" spans="1:8" ht="14.25" x14ac:dyDescent="0.15">
      <c r="A4562" s="232" t="s">
        <v>61</v>
      </c>
      <c r="B4562" s="235" t="s">
        <v>110</v>
      </c>
      <c r="C4562" s="238" t="s">
        <v>109</v>
      </c>
      <c r="D4562" s="241" t="s">
        <v>108</v>
      </c>
      <c r="E4562" s="57"/>
      <c r="F4562" s="56"/>
      <c r="G4562" s="56"/>
      <c r="H4562" s="55"/>
    </row>
    <row r="4563" spans="1:8" ht="18" customHeight="1" x14ac:dyDescent="0.15">
      <c r="A4563" s="233"/>
      <c r="B4563" s="236"/>
      <c r="C4563" s="239"/>
      <c r="D4563" s="242"/>
      <c r="E4563" s="244" t="s">
        <v>107</v>
      </c>
      <c r="F4563" s="254" t="s">
        <v>106</v>
      </c>
      <c r="G4563" s="254" t="s">
        <v>105</v>
      </c>
      <c r="H4563" s="256" t="s">
        <v>104</v>
      </c>
    </row>
    <row r="4564" spans="1:8" ht="18" customHeight="1" thickBot="1" x14ac:dyDescent="0.2">
      <c r="A4564" s="234"/>
      <c r="B4564" s="237"/>
      <c r="C4564" s="240"/>
      <c r="D4564" s="243"/>
      <c r="E4564" s="245"/>
      <c r="F4564" s="255"/>
      <c r="G4564" s="255"/>
      <c r="H4564" s="257"/>
    </row>
    <row r="4565" spans="1:8" ht="15" thickTop="1" x14ac:dyDescent="0.15">
      <c r="A4565" s="54"/>
      <c r="B4565" s="53"/>
      <c r="C4565" s="52"/>
      <c r="D4565" s="51" t="s">
        <v>103</v>
      </c>
      <c r="E4565" s="50" t="s">
        <v>103</v>
      </c>
      <c r="F4565" s="49" t="s">
        <v>103</v>
      </c>
      <c r="G4565" s="49" t="s">
        <v>103</v>
      </c>
      <c r="H4565" s="48" t="s">
        <v>103</v>
      </c>
    </row>
    <row r="4566" spans="1:8" ht="18" customHeight="1" x14ac:dyDescent="0.15">
      <c r="A4566" s="250" t="s">
        <v>102</v>
      </c>
      <c r="B4566" s="47" t="s">
        <v>101</v>
      </c>
      <c r="C4566" s="46">
        <v>3602</v>
      </c>
      <c r="D4566" s="45">
        <v>571594407</v>
      </c>
      <c r="E4566" s="45">
        <v>217335138</v>
      </c>
      <c r="F4566" s="44">
        <v>175988495</v>
      </c>
      <c r="G4566" s="44">
        <v>170825039</v>
      </c>
      <c r="H4566" s="43">
        <v>7445732</v>
      </c>
    </row>
    <row r="4567" spans="1:8" ht="18" customHeight="1" x14ac:dyDescent="0.15">
      <c r="A4567" s="250"/>
      <c r="B4567" s="41" t="s">
        <v>100</v>
      </c>
      <c r="C4567" s="39">
        <v>24</v>
      </c>
      <c r="D4567" s="38">
        <v>153818</v>
      </c>
      <c r="E4567" s="38">
        <v>76063</v>
      </c>
      <c r="F4567" s="37">
        <v>52641</v>
      </c>
      <c r="G4567" s="37">
        <v>25113</v>
      </c>
      <c r="H4567" s="36">
        <v>0</v>
      </c>
    </row>
    <row r="4568" spans="1:8" ht="13.5" x14ac:dyDescent="0.15">
      <c r="A4568" s="250"/>
      <c r="B4568" s="41" t="s">
        <v>99</v>
      </c>
      <c r="C4568" s="39">
        <v>20</v>
      </c>
      <c r="D4568" s="38">
        <v>126</v>
      </c>
      <c r="E4568" s="38">
        <v>125</v>
      </c>
      <c r="F4568" s="59">
        <v>0</v>
      </c>
      <c r="G4568" s="59">
        <v>0</v>
      </c>
      <c r="H4568" s="36">
        <v>0</v>
      </c>
    </row>
    <row r="4569" spans="1:8" ht="18" customHeight="1" x14ac:dyDescent="0.15">
      <c r="A4569" s="250"/>
      <c r="B4569" s="42" t="s">
        <v>98</v>
      </c>
      <c r="C4569" s="34">
        <v>1</v>
      </c>
      <c r="D4569" s="33">
        <v>169406</v>
      </c>
      <c r="E4569" s="33">
        <v>130095</v>
      </c>
      <c r="F4569" s="32">
        <v>6652</v>
      </c>
      <c r="G4569" s="32">
        <v>30951</v>
      </c>
      <c r="H4569" s="31">
        <v>1706</v>
      </c>
    </row>
    <row r="4570" spans="1:8" ht="18" customHeight="1" x14ac:dyDescent="0.15">
      <c r="A4570" s="250"/>
      <c r="B4570" s="41" t="s">
        <v>97</v>
      </c>
      <c r="C4570" s="39">
        <v>52</v>
      </c>
      <c r="D4570" s="38">
        <v>10718604</v>
      </c>
      <c r="E4570" s="38">
        <v>3138770</v>
      </c>
      <c r="F4570" s="37">
        <v>2500923</v>
      </c>
      <c r="G4570" s="37">
        <v>5042787</v>
      </c>
      <c r="H4570" s="36">
        <v>36122</v>
      </c>
    </row>
    <row r="4571" spans="1:8" ht="13.5" x14ac:dyDescent="0.15">
      <c r="A4571" s="250"/>
      <c r="B4571" s="40" t="s">
        <v>96</v>
      </c>
      <c r="C4571" s="39">
        <v>130</v>
      </c>
      <c r="D4571" s="38">
        <v>12920680</v>
      </c>
      <c r="E4571" s="38">
        <v>2914406</v>
      </c>
      <c r="F4571" s="37">
        <v>1448914</v>
      </c>
      <c r="G4571" s="37">
        <v>8481410</v>
      </c>
      <c r="H4571" s="36">
        <v>75949</v>
      </c>
    </row>
    <row r="4572" spans="1:8" ht="18" customHeight="1" x14ac:dyDescent="0.15">
      <c r="A4572" s="251"/>
      <c r="B4572" s="35" t="s">
        <v>95</v>
      </c>
      <c r="C4572" s="34">
        <v>55</v>
      </c>
      <c r="D4572" s="33">
        <v>212254</v>
      </c>
      <c r="E4572" s="33">
        <v>175514</v>
      </c>
      <c r="F4572" s="32">
        <v>23165</v>
      </c>
      <c r="G4572" s="32">
        <v>10396</v>
      </c>
      <c r="H4572" s="31">
        <v>3179</v>
      </c>
    </row>
    <row r="4573" spans="1:8" ht="18" customHeight="1" x14ac:dyDescent="0.15">
      <c r="A4573" s="30" t="s">
        <v>94</v>
      </c>
      <c r="B4573" s="29" t="s">
        <v>93</v>
      </c>
      <c r="C4573" s="28">
        <v>39</v>
      </c>
      <c r="D4573" s="15">
        <v>111458</v>
      </c>
      <c r="E4573" s="15">
        <v>109133</v>
      </c>
      <c r="F4573" s="14">
        <v>2186</v>
      </c>
      <c r="G4573" s="14">
        <v>27</v>
      </c>
      <c r="H4573" s="13">
        <v>110</v>
      </c>
    </row>
    <row r="4574" spans="1:8" ht="13.5" x14ac:dyDescent="0.15">
      <c r="A4574" s="252" t="s">
        <v>92</v>
      </c>
      <c r="B4574" s="17" t="s">
        <v>91</v>
      </c>
      <c r="C4574" s="16">
        <v>2912</v>
      </c>
      <c r="D4574" s="27">
        <v>58082005</v>
      </c>
      <c r="E4574" s="27">
        <v>9027231</v>
      </c>
      <c r="F4574" s="26">
        <v>6330950</v>
      </c>
      <c r="G4574" s="26">
        <v>35784661</v>
      </c>
      <c r="H4574" s="25">
        <v>6939162</v>
      </c>
    </row>
    <row r="4575" spans="1:8" ht="18" customHeight="1" x14ac:dyDescent="0.15">
      <c r="A4575" s="250"/>
      <c r="B4575" s="23" t="s">
        <v>90</v>
      </c>
      <c r="C4575" s="22">
        <v>3098</v>
      </c>
      <c r="D4575" s="21">
        <v>15047676</v>
      </c>
      <c r="E4575" s="21">
        <v>744673</v>
      </c>
      <c r="F4575" s="20">
        <v>2788048</v>
      </c>
      <c r="G4575" s="20">
        <v>9533521</v>
      </c>
      <c r="H4575" s="19">
        <v>1981433</v>
      </c>
    </row>
    <row r="4576" spans="1:8" ht="18" customHeight="1" x14ac:dyDescent="0.15">
      <c r="A4576" s="250"/>
      <c r="B4576" s="24" t="s">
        <v>89</v>
      </c>
      <c r="C4576" s="22">
        <v>609</v>
      </c>
      <c r="D4576" s="21">
        <v>36091882</v>
      </c>
      <c r="E4576" s="21">
        <v>2194269</v>
      </c>
      <c r="F4576" s="20">
        <v>4970435</v>
      </c>
      <c r="G4576" s="20">
        <v>22828395</v>
      </c>
      <c r="H4576" s="19">
        <v>6098782</v>
      </c>
    </row>
    <row r="4577" spans="1:8" ht="18" customHeight="1" x14ac:dyDescent="0.15">
      <c r="A4577" s="250"/>
      <c r="B4577" s="23" t="s">
        <v>88</v>
      </c>
      <c r="C4577" s="22">
        <v>1321</v>
      </c>
      <c r="D4577" s="21">
        <v>41111800</v>
      </c>
      <c r="E4577" s="21">
        <v>3641845</v>
      </c>
      <c r="F4577" s="20">
        <v>6327897</v>
      </c>
      <c r="G4577" s="20">
        <v>27678022</v>
      </c>
      <c r="H4577" s="19">
        <v>3464035</v>
      </c>
    </row>
    <row r="4578" spans="1:8" ht="18" customHeight="1" x14ac:dyDescent="0.15">
      <c r="A4578" s="250"/>
      <c r="B4578" s="23" t="s">
        <v>87</v>
      </c>
      <c r="C4578" s="22">
        <v>124</v>
      </c>
      <c r="D4578" s="21">
        <v>3909200</v>
      </c>
      <c r="E4578" s="21">
        <v>60426</v>
      </c>
      <c r="F4578" s="20">
        <v>175905</v>
      </c>
      <c r="G4578" s="20">
        <v>3599906</v>
      </c>
      <c r="H4578" s="19">
        <v>72960</v>
      </c>
    </row>
    <row r="4579" spans="1:8" ht="18" customHeight="1" x14ac:dyDescent="0.15">
      <c r="A4579" s="250"/>
      <c r="B4579" s="23" t="s">
        <v>86</v>
      </c>
      <c r="C4579" s="22">
        <v>92</v>
      </c>
      <c r="D4579" s="21">
        <v>983100</v>
      </c>
      <c r="E4579" s="21">
        <v>215680</v>
      </c>
      <c r="F4579" s="20">
        <v>46300</v>
      </c>
      <c r="G4579" s="20">
        <v>500720</v>
      </c>
      <c r="H4579" s="19">
        <v>220400</v>
      </c>
    </row>
    <row r="4580" spans="1:8" ht="18" customHeight="1" x14ac:dyDescent="0.15">
      <c r="A4580" s="250"/>
      <c r="B4580" s="23" t="s">
        <v>85</v>
      </c>
      <c r="C4580" s="22">
        <v>36</v>
      </c>
      <c r="D4580" s="21">
        <v>296706</v>
      </c>
      <c r="E4580" s="21">
        <v>118022</v>
      </c>
      <c r="F4580" s="20">
        <v>21326</v>
      </c>
      <c r="G4580" s="20">
        <v>102927</v>
      </c>
      <c r="H4580" s="19">
        <v>54430</v>
      </c>
    </row>
    <row r="4581" spans="1:8" ht="18" customHeight="1" x14ac:dyDescent="0.15">
      <c r="A4581" s="250"/>
      <c r="B4581" s="23" t="s">
        <v>84</v>
      </c>
      <c r="C4581" s="22">
        <v>0</v>
      </c>
      <c r="D4581" s="21">
        <v>0</v>
      </c>
      <c r="E4581" s="21">
        <v>0</v>
      </c>
      <c r="F4581" s="20">
        <v>0</v>
      </c>
      <c r="G4581" s="20">
        <v>0</v>
      </c>
      <c r="H4581" s="19">
        <v>0</v>
      </c>
    </row>
    <row r="4582" spans="1:8" ht="18" customHeight="1" x14ac:dyDescent="0.15">
      <c r="A4582" s="250"/>
      <c r="B4582" s="23" t="s">
        <v>83</v>
      </c>
      <c r="C4582" s="22">
        <v>271</v>
      </c>
      <c r="D4582" s="21">
        <v>11446460</v>
      </c>
      <c r="E4582" s="21">
        <v>855030</v>
      </c>
      <c r="F4582" s="20">
        <v>3461190</v>
      </c>
      <c r="G4582" s="20">
        <v>3761160</v>
      </c>
      <c r="H4582" s="19">
        <v>3369080</v>
      </c>
    </row>
    <row r="4583" spans="1:8" ht="18" customHeight="1" x14ac:dyDescent="0.15">
      <c r="A4583" s="250"/>
      <c r="B4583" s="23" t="s">
        <v>82</v>
      </c>
      <c r="C4583" s="22">
        <v>2861</v>
      </c>
      <c r="D4583" s="21">
        <v>59658651</v>
      </c>
      <c r="E4583" s="21">
        <v>11803585</v>
      </c>
      <c r="F4583" s="20">
        <v>7714770</v>
      </c>
      <c r="G4583" s="20">
        <v>33940922</v>
      </c>
      <c r="H4583" s="19">
        <v>6199372</v>
      </c>
    </row>
    <row r="4584" spans="1:8" ht="18" customHeight="1" x14ac:dyDescent="0.15">
      <c r="A4584" s="250"/>
      <c r="B4584" s="23" t="s">
        <v>81</v>
      </c>
      <c r="C4584" s="22">
        <v>550</v>
      </c>
      <c r="D4584" s="21">
        <v>15296884</v>
      </c>
      <c r="E4584" s="21">
        <v>1875695</v>
      </c>
      <c r="F4584" s="20">
        <v>1489557</v>
      </c>
      <c r="G4584" s="20">
        <v>10807667</v>
      </c>
      <c r="H4584" s="19">
        <v>1123962</v>
      </c>
    </row>
    <row r="4585" spans="1:8" ht="18" customHeight="1" x14ac:dyDescent="0.15">
      <c r="A4585" s="250"/>
      <c r="B4585" s="23" t="s">
        <v>80</v>
      </c>
      <c r="C4585" s="22">
        <v>41999</v>
      </c>
      <c r="D4585" s="21">
        <v>10740030</v>
      </c>
      <c r="E4585" s="21">
        <v>293860</v>
      </c>
      <c r="F4585" s="20">
        <v>6192197</v>
      </c>
      <c r="G4585" s="20">
        <v>4050262</v>
      </c>
      <c r="H4585" s="19">
        <v>203710</v>
      </c>
    </row>
    <row r="4586" spans="1:8" ht="18" customHeight="1" x14ac:dyDescent="0.15">
      <c r="A4586" s="250"/>
      <c r="B4586" s="23" t="s">
        <v>79</v>
      </c>
      <c r="C4586" s="22">
        <v>120</v>
      </c>
      <c r="D4586" s="21">
        <v>1401709</v>
      </c>
      <c r="E4586" s="21">
        <v>7811</v>
      </c>
      <c r="F4586" s="20">
        <v>1087073</v>
      </c>
      <c r="G4586" s="20">
        <v>306825</v>
      </c>
      <c r="H4586" s="19">
        <v>0</v>
      </c>
    </row>
    <row r="4587" spans="1:8" ht="18" customHeight="1" x14ac:dyDescent="0.15">
      <c r="A4587" s="250"/>
      <c r="B4587" s="23" t="s">
        <v>78</v>
      </c>
      <c r="C4587" s="22">
        <v>45</v>
      </c>
      <c r="D4587" s="21">
        <v>740800</v>
      </c>
      <c r="E4587" s="21">
        <v>110864</v>
      </c>
      <c r="F4587" s="20">
        <v>115300</v>
      </c>
      <c r="G4587" s="20">
        <v>420236</v>
      </c>
      <c r="H4587" s="19">
        <v>94400</v>
      </c>
    </row>
    <row r="4588" spans="1:8" ht="18" customHeight="1" x14ac:dyDescent="0.15">
      <c r="A4588" s="250"/>
      <c r="B4588" s="23" t="s">
        <v>77</v>
      </c>
      <c r="C4588" s="22">
        <v>438</v>
      </c>
      <c r="D4588" s="21">
        <v>2184349</v>
      </c>
      <c r="E4588" s="21">
        <v>325472</v>
      </c>
      <c r="F4588" s="20">
        <v>1094237</v>
      </c>
      <c r="G4588" s="20">
        <v>673382</v>
      </c>
      <c r="H4588" s="19">
        <v>91257</v>
      </c>
    </row>
    <row r="4589" spans="1:8" ht="18" customHeight="1" x14ac:dyDescent="0.15">
      <c r="A4589" s="250"/>
      <c r="B4589" s="23" t="s">
        <v>76</v>
      </c>
      <c r="C4589" s="22">
        <v>348</v>
      </c>
      <c r="D4589" s="21">
        <v>9354656</v>
      </c>
      <c r="E4589" s="21">
        <v>981852</v>
      </c>
      <c r="F4589" s="20">
        <v>1908102</v>
      </c>
      <c r="G4589" s="20">
        <v>5819714</v>
      </c>
      <c r="H4589" s="19">
        <v>644987</v>
      </c>
    </row>
    <row r="4590" spans="1:8" ht="18" customHeight="1" x14ac:dyDescent="0.15">
      <c r="A4590" s="250"/>
      <c r="B4590" s="23" t="s">
        <v>75</v>
      </c>
      <c r="C4590" s="22">
        <v>37</v>
      </c>
      <c r="D4590" s="21">
        <v>1701000</v>
      </c>
      <c r="E4590" s="21">
        <v>145700</v>
      </c>
      <c r="F4590" s="20">
        <v>660900</v>
      </c>
      <c r="G4590" s="20">
        <v>763800</v>
      </c>
      <c r="H4590" s="19">
        <v>130600</v>
      </c>
    </row>
    <row r="4591" spans="1:8" ht="18" customHeight="1" x14ac:dyDescent="0.15">
      <c r="A4591" s="250"/>
      <c r="B4591" s="23" t="s">
        <v>74</v>
      </c>
      <c r="C4591" s="22">
        <v>0</v>
      </c>
      <c r="D4591" s="21">
        <v>0</v>
      </c>
      <c r="E4591" s="21">
        <v>0</v>
      </c>
      <c r="F4591" s="20">
        <v>0</v>
      </c>
      <c r="G4591" s="20">
        <v>0</v>
      </c>
      <c r="H4591" s="19">
        <v>0</v>
      </c>
    </row>
    <row r="4592" spans="1:8" ht="18" customHeight="1" x14ac:dyDescent="0.15">
      <c r="A4592" s="250"/>
      <c r="B4592" s="23" t="s">
        <v>73</v>
      </c>
      <c r="C4592" s="22">
        <v>13</v>
      </c>
      <c r="D4592" s="21">
        <v>421300</v>
      </c>
      <c r="E4592" s="21">
        <v>200</v>
      </c>
      <c r="F4592" s="20">
        <v>132800</v>
      </c>
      <c r="G4592" s="20">
        <v>286200</v>
      </c>
      <c r="H4592" s="19">
        <v>2100</v>
      </c>
    </row>
    <row r="4593" spans="1:8" ht="18" customHeight="1" x14ac:dyDescent="0.15">
      <c r="A4593" s="250"/>
      <c r="B4593" s="23" t="s">
        <v>72</v>
      </c>
      <c r="C4593" s="22">
        <v>1</v>
      </c>
      <c r="D4593" s="21">
        <v>3000</v>
      </c>
      <c r="E4593" s="21">
        <v>100</v>
      </c>
      <c r="F4593" s="20">
        <v>500</v>
      </c>
      <c r="G4593" s="20">
        <v>1000</v>
      </c>
      <c r="H4593" s="19">
        <v>1400</v>
      </c>
    </row>
    <row r="4594" spans="1:8" ht="18" customHeight="1" x14ac:dyDescent="0.15">
      <c r="A4594" s="251"/>
      <c r="B4594" s="23" t="s">
        <v>71</v>
      </c>
      <c r="C4594" s="22">
        <v>11</v>
      </c>
      <c r="D4594" s="21">
        <v>6941</v>
      </c>
      <c r="E4594" s="21">
        <v>541</v>
      </c>
      <c r="F4594" s="20">
        <v>0</v>
      </c>
      <c r="G4594" s="20">
        <v>5900</v>
      </c>
      <c r="H4594" s="19">
        <v>500</v>
      </c>
    </row>
    <row r="4595" spans="1:8" ht="18" customHeight="1" x14ac:dyDescent="0.15">
      <c r="A4595" s="18" t="s">
        <v>70</v>
      </c>
      <c r="B4595" s="17" t="s">
        <v>69</v>
      </c>
      <c r="C4595" s="16">
        <v>3717</v>
      </c>
      <c r="D4595" s="15">
        <v>14217077</v>
      </c>
      <c r="E4595" s="15">
        <v>1134480</v>
      </c>
      <c r="F4595" s="14">
        <v>4766042</v>
      </c>
      <c r="G4595" s="14">
        <v>6624355</v>
      </c>
      <c r="H4595" s="13">
        <v>1692200</v>
      </c>
    </row>
    <row r="4596" spans="1:8" ht="18" customHeight="1" x14ac:dyDescent="0.15">
      <c r="A4596" s="252" t="s">
        <v>68</v>
      </c>
      <c r="B4596" s="12" t="s">
        <v>67</v>
      </c>
      <c r="C4596" s="11">
        <v>5412</v>
      </c>
      <c r="D4596" s="10">
        <v>84362494</v>
      </c>
      <c r="E4596" s="10">
        <v>51493804</v>
      </c>
      <c r="F4596" s="9">
        <v>14935138</v>
      </c>
      <c r="G4596" s="9">
        <v>11613328</v>
      </c>
      <c r="H4596" s="8">
        <v>6320222</v>
      </c>
    </row>
    <row r="4597" spans="1:8" ht="18" customHeight="1" thickBot="1" x14ac:dyDescent="0.2">
      <c r="A4597" s="253"/>
      <c r="B4597" s="7" t="s">
        <v>66</v>
      </c>
      <c r="C4597" s="6">
        <v>3544</v>
      </c>
      <c r="D4597" s="5" t="s">
        <v>65</v>
      </c>
      <c r="E4597" s="5" t="s">
        <v>65</v>
      </c>
      <c r="F4597" s="5" t="s">
        <v>65</v>
      </c>
      <c r="G4597" s="5" t="s">
        <v>65</v>
      </c>
      <c r="H4597" s="4" t="s">
        <v>65</v>
      </c>
    </row>
    <row r="4598" spans="1:8" ht="18" customHeight="1" x14ac:dyDescent="0.15">
      <c r="A4598" s="3" t="s">
        <v>128</v>
      </c>
      <c r="B4598" s="2"/>
      <c r="C4598" s="2"/>
      <c r="D4598" s="2"/>
      <c r="E4598" s="2"/>
      <c r="F4598" s="2"/>
      <c r="G4598" s="2"/>
      <c r="H4598" s="2"/>
    </row>
    <row r="4599" spans="1:8" ht="18" customHeight="1" x14ac:dyDescent="0.15">
      <c r="A4599" s="230" t="s">
        <v>127</v>
      </c>
      <c r="B4599" s="230"/>
      <c r="C4599" s="230"/>
      <c r="D4599" s="230"/>
      <c r="E4599" s="230"/>
      <c r="F4599" s="230"/>
      <c r="G4599" s="230"/>
      <c r="H4599" s="230"/>
    </row>
    <row r="4600" spans="1:8" ht="18" customHeight="1" x14ac:dyDescent="0.15">
      <c r="A4600" s="231"/>
      <c r="B4600" s="231"/>
      <c r="C4600" s="231"/>
      <c r="D4600" s="231"/>
      <c r="E4600" s="231"/>
      <c r="F4600" s="231"/>
      <c r="G4600" s="231"/>
      <c r="H4600" s="231"/>
    </row>
    <row r="4601" spans="1:8" ht="18" customHeight="1" thickBot="1" x14ac:dyDescent="0.2">
      <c r="A4601" s="58" t="s">
        <v>62</v>
      </c>
    </row>
    <row r="4602" spans="1:8" ht="14.25" x14ac:dyDescent="0.15">
      <c r="A4602" s="232" t="s">
        <v>61</v>
      </c>
      <c r="B4602" s="235" t="s">
        <v>110</v>
      </c>
      <c r="C4602" s="238" t="s">
        <v>109</v>
      </c>
      <c r="D4602" s="241" t="s">
        <v>108</v>
      </c>
      <c r="E4602" s="57"/>
      <c r="F4602" s="56"/>
      <c r="G4602" s="56"/>
      <c r="H4602" s="55"/>
    </row>
    <row r="4603" spans="1:8" ht="18" customHeight="1" x14ac:dyDescent="0.15">
      <c r="A4603" s="233"/>
      <c r="B4603" s="236"/>
      <c r="C4603" s="239"/>
      <c r="D4603" s="242"/>
      <c r="E4603" s="244" t="s">
        <v>107</v>
      </c>
      <c r="F4603" s="254" t="s">
        <v>106</v>
      </c>
      <c r="G4603" s="254" t="s">
        <v>105</v>
      </c>
      <c r="H4603" s="256" t="s">
        <v>104</v>
      </c>
    </row>
    <row r="4604" spans="1:8" ht="18" customHeight="1" thickBot="1" x14ac:dyDescent="0.2">
      <c r="A4604" s="234"/>
      <c r="B4604" s="237"/>
      <c r="C4604" s="240"/>
      <c r="D4604" s="243"/>
      <c r="E4604" s="245"/>
      <c r="F4604" s="255"/>
      <c r="G4604" s="255"/>
      <c r="H4604" s="257"/>
    </row>
    <row r="4605" spans="1:8" ht="15" thickTop="1" x14ac:dyDescent="0.15">
      <c r="A4605" s="54"/>
      <c r="B4605" s="53"/>
      <c r="C4605" s="52"/>
      <c r="D4605" s="51" t="s">
        <v>103</v>
      </c>
      <c r="E4605" s="50" t="s">
        <v>103</v>
      </c>
      <c r="F4605" s="49" t="s">
        <v>103</v>
      </c>
      <c r="G4605" s="49" t="s">
        <v>103</v>
      </c>
      <c r="H4605" s="48" t="s">
        <v>103</v>
      </c>
    </row>
    <row r="4606" spans="1:8" ht="18" customHeight="1" x14ac:dyDescent="0.15">
      <c r="A4606" s="250" t="s">
        <v>102</v>
      </c>
      <c r="B4606" s="47" t="s">
        <v>101</v>
      </c>
      <c r="C4606" s="46">
        <v>3594</v>
      </c>
      <c r="D4606" s="45">
        <v>573825621</v>
      </c>
      <c r="E4606" s="45">
        <v>215856168</v>
      </c>
      <c r="F4606" s="44">
        <v>179733632</v>
      </c>
      <c r="G4606" s="44">
        <v>170925335</v>
      </c>
      <c r="H4606" s="43">
        <v>7310485</v>
      </c>
    </row>
    <row r="4607" spans="1:8" ht="18" customHeight="1" x14ac:dyDescent="0.15">
      <c r="A4607" s="250"/>
      <c r="B4607" s="41" t="s">
        <v>100</v>
      </c>
      <c r="C4607" s="39">
        <v>22</v>
      </c>
      <c r="D4607" s="38">
        <v>143073</v>
      </c>
      <c r="E4607" s="38">
        <v>63990</v>
      </c>
      <c r="F4607" s="37">
        <v>53763</v>
      </c>
      <c r="G4607" s="37">
        <v>25319</v>
      </c>
      <c r="H4607" s="36">
        <v>0</v>
      </c>
    </row>
    <row r="4608" spans="1:8" ht="13.5" x14ac:dyDescent="0.15">
      <c r="A4608" s="250"/>
      <c r="B4608" s="41" t="s">
        <v>99</v>
      </c>
      <c r="C4608" s="39">
        <v>21</v>
      </c>
      <c r="D4608" s="38">
        <v>393</v>
      </c>
      <c r="E4608" s="38">
        <v>392</v>
      </c>
      <c r="F4608" s="59">
        <v>0</v>
      </c>
      <c r="G4608" s="59">
        <v>0</v>
      </c>
      <c r="H4608" s="36">
        <v>0</v>
      </c>
    </row>
    <row r="4609" spans="1:8" ht="18" customHeight="1" x14ac:dyDescent="0.15">
      <c r="A4609" s="250"/>
      <c r="B4609" s="42" t="s">
        <v>98</v>
      </c>
      <c r="C4609" s="34">
        <v>1</v>
      </c>
      <c r="D4609" s="33">
        <v>168202</v>
      </c>
      <c r="E4609" s="33">
        <v>129308</v>
      </c>
      <c r="F4609" s="32">
        <v>6431</v>
      </c>
      <c r="G4609" s="32">
        <v>30717</v>
      </c>
      <c r="H4609" s="31">
        <v>1746</v>
      </c>
    </row>
    <row r="4610" spans="1:8" ht="18" customHeight="1" x14ac:dyDescent="0.15">
      <c r="A4610" s="250"/>
      <c r="B4610" s="41" t="s">
        <v>97</v>
      </c>
      <c r="C4610" s="39">
        <v>52</v>
      </c>
      <c r="D4610" s="38">
        <v>10758831</v>
      </c>
      <c r="E4610" s="38">
        <v>3198842</v>
      </c>
      <c r="F4610" s="37">
        <v>2516495</v>
      </c>
      <c r="G4610" s="37">
        <v>5009410</v>
      </c>
      <c r="H4610" s="36">
        <v>34082</v>
      </c>
    </row>
    <row r="4611" spans="1:8" ht="13.5" x14ac:dyDescent="0.15">
      <c r="A4611" s="250"/>
      <c r="B4611" s="40" t="s">
        <v>96</v>
      </c>
      <c r="C4611" s="39">
        <v>128</v>
      </c>
      <c r="D4611" s="38">
        <v>12148515</v>
      </c>
      <c r="E4611" s="38">
        <v>2805551</v>
      </c>
      <c r="F4611" s="37">
        <v>1287355</v>
      </c>
      <c r="G4611" s="37">
        <v>8029906</v>
      </c>
      <c r="H4611" s="36">
        <v>25701</v>
      </c>
    </row>
    <row r="4612" spans="1:8" ht="18" customHeight="1" x14ac:dyDescent="0.15">
      <c r="A4612" s="251"/>
      <c r="B4612" s="35" t="s">
        <v>95</v>
      </c>
      <c r="C4612" s="34">
        <v>43</v>
      </c>
      <c r="D4612" s="33">
        <v>163727</v>
      </c>
      <c r="E4612" s="33">
        <v>132920</v>
      </c>
      <c r="F4612" s="32">
        <v>19260</v>
      </c>
      <c r="G4612" s="32">
        <v>10101</v>
      </c>
      <c r="H4612" s="31">
        <v>1446</v>
      </c>
    </row>
    <row r="4613" spans="1:8" ht="18" customHeight="1" x14ac:dyDescent="0.15">
      <c r="A4613" s="30" t="s">
        <v>94</v>
      </c>
      <c r="B4613" s="29" t="s">
        <v>93</v>
      </c>
      <c r="C4613" s="28">
        <v>39</v>
      </c>
      <c r="D4613" s="15">
        <v>147293</v>
      </c>
      <c r="E4613" s="15">
        <v>144886</v>
      </c>
      <c r="F4613" s="14">
        <v>2232</v>
      </c>
      <c r="G4613" s="14">
        <v>13</v>
      </c>
      <c r="H4613" s="13">
        <v>160</v>
      </c>
    </row>
    <row r="4614" spans="1:8" ht="13.5" x14ac:dyDescent="0.15">
      <c r="A4614" s="252" t="s">
        <v>92</v>
      </c>
      <c r="B4614" s="17" t="s">
        <v>91</v>
      </c>
      <c r="C4614" s="16">
        <v>2926</v>
      </c>
      <c r="D4614" s="27">
        <v>58408784</v>
      </c>
      <c r="E4614" s="27">
        <v>9069606</v>
      </c>
      <c r="F4614" s="26">
        <v>6688943</v>
      </c>
      <c r="G4614" s="26">
        <v>35692817</v>
      </c>
      <c r="H4614" s="25">
        <v>6957416</v>
      </c>
    </row>
    <row r="4615" spans="1:8" ht="18" customHeight="1" x14ac:dyDescent="0.15">
      <c r="A4615" s="250"/>
      <c r="B4615" s="23" t="s">
        <v>90</v>
      </c>
      <c r="C4615" s="22">
        <v>3213</v>
      </c>
      <c r="D4615" s="21">
        <v>15518891</v>
      </c>
      <c r="E4615" s="21">
        <v>650599</v>
      </c>
      <c r="F4615" s="20">
        <v>2934275</v>
      </c>
      <c r="G4615" s="20">
        <v>9919468</v>
      </c>
      <c r="H4615" s="19">
        <v>2014548</v>
      </c>
    </row>
    <row r="4616" spans="1:8" ht="18" customHeight="1" x14ac:dyDescent="0.15">
      <c r="A4616" s="250"/>
      <c r="B4616" s="24" t="s">
        <v>89</v>
      </c>
      <c r="C4616" s="22">
        <v>610</v>
      </c>
      <c r="D4616" s="21">
        <v>36323361</v>
      </c>
      <c r="E4616" s="21">
        <v>2155051</v>
      </c>
      <c r="F4616" s="20">
        <v>5407801</v>
      </c>
      <c r="G4616" s="20">
        <v>22752949</v>
      </c>
      <c r="H4616" s="19">
        <v>6007559</v>
      </c>
    </row>
    <row r="4617" spans="1:8" ht="18" customHeight="1" x14ac:dyDescent="0.15">
      <c r="A4617" s="250"/>
      <c r="B4617" s="23" t="s">
        <v>88</v>
      </c>
      <c r="C4617" s="22">
        <v>1333</v>
      </c>
      <c r="D4617" s="21">
        <v>41341300</v>
      </c>
      <c r="E4617" s="21">
        <v>3648310</v>
      </c>
      <c r="F4617" s="20">
        <v>6350290</v>
      </c>
      <c r="G4617" s="20">
        <v>27825028</v>
      </c>
      <c r="H4617" s="19">
        <v>3517670</v>
      </c>
    </row>
    <row r="4618" spans="1:8" ht="18" customHeight="1" x14ac:dyDescent="0.15">
      <c r="A4618" s="250"/>
      <c r="B4618" s="23" t="s">
        <v>87</v>
      </c>
      <c r="C4618" s="22">
        <v>128</v>
      </c>
      <c r="D4618" s="21">
        <v>4670449</v>
      </c>
      <c r="E4618" s="21">
        <v>54141</v>
      </c>
      <c r="F4618" s="20">
        <v>189087</v>
      </c>
      <c r="G4618" s="20">
        <v>4349565</v>
      </c>
      <c r="H4618" s="19">
        <v>77654</v>
      </c>
    </row>
    <row r="4619" spans="1:8" ht="18" customHeight="1" x14ac:dyDescent="0.15">
      <c r="A4619" s="250"/>
      <c r="B4619" s="23" t="s">
        <v>86</v>
      </c>
      <c r="C4619" s="22">
        <v>89</v>
      </c>
      <c r="D4619" s="21">
        <v>956100</v>
      </c>
      <c r="E4619" s="21">
        <v>203980</v>
      </c>
      <c r="F4619" s="20">
        <v>45100</v>
      </c>
      <c r="G4619" s="20">
        <v>493120</v>
      </c>
      <c r="H4619" s="19">
        <v>213900</v>
      </c>
    </row>
    <row r="4620" spans="1:8" ht="18" customHeight="1" x14ac:dyDescent="0.15">
      <c r="A4620" s="250"/>
      <c r="B4620" s="23" t="s">
        <v>85</v>
      </c>
      <c r="C4620" s="22">
        <v>38</v>
      </c>
      <c r="D4620" s="21">
        <v>326206</v>
      </c>
      <c r="E4620" s="21">
        <v>117270</v>
      </c>
      <c r="F4620" s="20">
        <v>25096</v>
      </c>
      <c r="G4620" s="20">
        <v>124629</v>
      </c>
      <c r="H4620" s="19">
        <v>59210</v>
      </c>
    </row>
    <row r="4621" spans="1:8" ht="18" customHeight="1" x14ac:dyDescent="0.15">
      <c r="A4621" s="250"/>
      <c r="B4621" s="23" t="s">
        <v>84</v>
      </c>
      <c r="C4621" s="22">
        <v>0</v>
      </c>
      <c r="D4621" s="21">
        <v>0</v>
      </c>
      <c r="E4621" s="21">
        <v>0</v>
      </c>
      <c r="F4621" s="20">
        <v>0</v>
      </c>
      <c r="G4621" s="20">
        <v>0</v>
      </c>
      <c r="H4621" s="19">
        <v>0</v>
      </c>
    </row>
    <row r="4622" spans="1:8" ht="18" customHeight="1" x14ac:dyDescent="0.15">
      <c r="A4622" s="250"/>
      <c r="B4622" s="23" t="s">
        <v>83</v>
      </c>
      <c r="C4622" s="22">
        <v>269</v>
      </c>
      <c r="D4622" s="21">
        <v>11459960</v>
      </c>
      <c r="E4622" s="21">
        <v>806920</v>
      </c>
      <c r="F4622" s="20">
        <v>3466830</v>
      </c>
      <c r="G4622" s="20">
        <v>3803220</v>
      </c>
      <c r="H4622" s="19">
        <v>3382990</v>
      </c>
    </row>
    <row r="4623" spans="1:8" ht="18" customHeight="1" x14ac:dyDescent="0.15">
      <c r="A4623" s="250"/>
      <c r="B4623" s="23" t="s">
        <v>82</v>
      </c>
      <c r="C4623" s="22">
        <v>2869</v>
      </c>
      <c r="D4623" s="21">
        <v>59727508</v>
      </c>
      <c r="E4623" s="21">
        <v>11825581</v>
      </c>
      <c r="F4623" s="20">
        <v>7741145</v>
      </c>
      <c r="G4623" s="20">
        <v>33907142</v>
      </c>
      <c r="H4623" s="19">
        <v>6253638</v>
      </c>
    </row>
    <row r="4624" spans="1:8" ht="18" customHeight="1" x14ac:dyDescent="0.15">
      <c r="A4624" s="250"/>
      <c r="B4624" s="23" t="s">
        <v>81</v>
      </c>
      <c r="C4624" s="22">
        <v>553</v>
      </c>
      <c r="D4624" s="21">
        <v>15396884</v>
      </c>
      <c r="E4624" s="21">
        <v>1888510</v>
      </c>
      <c r="F4624" s="20">
        <v>1469823</v>
      </c>
      <c r="G4624" s="20">
        <v>10874202</v>
      </c>
      <c r="H4624" s="19">
        <v>1164347</v>
      </c>
    </row>
    <row r="4625" spans="1:8" ht="18" customHeight="1" x14ac:dyDescent="0.15">
      <c r="A4625" s="250"/>
      <c r="B4625" s="23" t="s">
        <v>80</v>
      </c>
      <c r="C4625" s="22">
        <v>42242</v>
      </c>
      <c r="D4625" s="21">
        <v>10746329</v>
      </c>
      <c r="E4625" s="21">
        <v>256126</v>
      </c>
      <c r="F4625" s="20">
        <v>6324779</v>
      </c>
      <c r="G4625" s="20">
        <v>3968783</v>
      </c>
      <c r="H4625" s="19">
        <v>196640</v>
      </c>
    </row>
    <row r="4626" spans="1:8" ht="18" customHeight="1" x14ac:dyDescent="0.15">
      <c r="A4626" s="250"/>
      <c r="B4626" s="23" t="s">
        <v>79</v>
      </c>
      <c r="C4626" s="22">
        <v>123</v>
      </c>
      <c r="D4626" s="21">
        <v>1401398</v>
      </c>
      <c r="E4626" s="21">
        <v>10861</v>
      </c>
      <c r="F4626" s="20">
        <v>1088173</v>
      </c>
      <c r="G4626" s="20">
        <v>302364</v>
      </c>
      <c r="H4626" s="19">
        <v>0</v>
      </c>
    </row>
    <row r="4627" spans="1:8" ht="18" customHeight="1" x14ac:dyDescent="0.15">
      <c r="A4627" s="250"/>
      <c r="B4627" s="23" t="s">
        <v>78</v>
      </c>
      <c r="C4627" s="22">
        <v>45</v>
      </c>
      <c r="D4627" s="21">
        <v>740800</v>
      </c>
      <c r="E4627" s="21">
        <v>110364</v>
      </c>
      <c r="F4627" s="20">
        <v>114600</v>
      </c>
      <c r="G4627" s="20">
        <v>421436</v>
      </c>
      <c r="H4627" s="19">
        <v>94400</v>
      </c>
    </row>
    <row r="4628" spans="1:8" ht="18" customHeight="1" x14ac:dyDescent="0.15">
      <c r="A4628" s="250"/>
      <c r="B4628" s="23" t="s">
        <v>77</v>
      </c>
      <c r="C4628" s="22">
        <v>431</v>
      </c>
      <c r="D4628" s="21">
        <v>2155826</v>
      </c>
      <c r="E4628" s="21">
        <v>326995</v>
      </c>
      <c r="F4628" s="20">
        <v>1071703</v>
      </c>
      <c r="G4628" s="20">
        <v>665870</v>
      </c>
      <c r="H4628" s="19">
        <v>91257</v>
      </c>
    </row>
    <row r="4629" spans="1:8" ht="18" customHeight="1" x14ac:dyDescent="0.15">
      <c r="A4629" s="250"/>
      <c r="B4629" s="23" t="s">
        <v>76</v>
      </c>
      <c r="C4629" s="22">
        <v>352</v>
      </c>
      <c r="D4629" s="21">
        <v>9415056</v>
      </c>
      <c r="E4629" s="21">
        <v>989660</v>
      </c>
      <c r="F4629" s="20">
        <v>1961394</v>
      </c>
      <c r="G4629" s="20">
        <v>5815414</v>
      </c>
      <c r="H4629" s="19">
        <v>648587</v>
      </c>
    </row>
    <row r="4630" spans="1:8" ht="18" customHeight="1" x14ac:dyDescent="0.15">
      <c r="A4630" s="250"/>
      <c r="B4630" s="23" t="s">
        <v>75</v>
      </c>
      <c r="C4630" s="22">
        <v>38</v>
      </c>
      <c r="D4630" s="21">
        <v>1705000</v>
      </c>
      <c r="E4630" s="21">
        <v>145700</v>
      </c>
      <c r="F4630" s="20">
        <v>662700</v>
      </c>
      <c r="G4630" s="20">
        <v>766000</v>
      </c>
      <c r="H4630" s="19">
        <v>130600</v>
      </c>
    </row>
    <row r="4631" spans="1:8" ht="18" customHeight="1" x14ac:dyDescent="0.15">
      <c r="A4631" s="250"/>
      <c r="B4631" s="23" t="s">
        <v>74</v>
      </c>
      <c r="C4631" s="22">
        <v>0</v>
      </c>
      <c r="D4631" s="21">
        <v>0</v>
      </c>
      <c r="E4631" s="21">
        <v>0</v>
      </c>
      <c r="F4631" s="20">
        <v>0</v>
      </c>
      <c r="G4631" s="20">
        <v>0</v>
      </c>
      <c r="H4631" s="19">
        <v>0</v>
      </c>
    </row>
    <row r="4632" spans="1:8" ht="18" customHeight="1" x14ac:dyDescent="0.15">
      <c r="A4632" s="250"/>
      <c r="B4632" s="23" t="s">
        <v>73</v>
      </c>
      <c r="C4632" s="22">
        <v>16</v>
      </c>
      <c r="D4632" s="21">
        <v>500800</v>
      </c>
      <c r="E4632" s="21">
        <v>200</v>
      </c>
      <c r="F4632" s="20">
        <v>198800</v>
      </c>
      <c r="G4632" s="20">
        <v>299700</v>
      </c>
      <c r="H4632" s="19">
        <v>2100</v>
      </c>
    </row>
    <row r="4633" spans="1:8" ht="18" customHeight="1" x14ac:dyDescent="0.15">
      <c r="A4633" s="250"/>
      <c r="B4633" s="23" t="s">
        <v>72</v>
      </c>
      <c r="C4633" s="22">
        <v>1</v>
      </c>
      <c r="D4633" s="21">
        <v>3000</v>
      </c>
      <c r="E4633" s="21">
        <v>100</v>
      </c>
      <c r="F4633" s="20">
        <v>500</v>
      </c>
      <c r="G4633" s="20">
        <v>1000</v>
      </c>
      <c r="H4633" s="19">
        <v>1400</v>
      </c>
    </row>
    <row r="4634" spans="1:8" ht="18" customHeight="1" x14ac:dyDescent="0.15">
      <c r="A4634" s="251"/>
      <c r="B4634" s="23" t="s">
        <v>71</v>
      </c>
      <c r="C4634" s="22">
        <v>12</v>
      </c>
      <c r="D4634" s="21">
        <v>7105</v>
      </c>
      <c r="E4634" s="21">
        <v>805</v>
      </c>
      <c r="F4634" s="20">
        <v>0</v>
      </c>
      <c r="G4634" s="20">
        <v>5800</v>
      </c>
      <c r="H4634" s="19">
        <v>500</v>
      </c>
    </row>
    <row r="4635" spans="1:8" ht="18" customHeight="1" x14ac:dyDescent="0.15">
      <c r="A4635" s="18" t="s">
        <v>70</v>
      </c>
      <c r="B4635" s="17" t="s">
        <v>69</v>
      </c>
      <c r="C4635" s="16">
        <v>3979</v>
      </c>
      <c r="D4635" s="15">
        <v>16850607</v>
      </c>
      <c r="E4635" s="15">
        <v>1227630</v>
      </c>
      <c r="F4635" s="14">
        <v>6042460</v>
      </c>
      <c r="G4635" s="14">
        <v>6967917</v>
      </c>
      <c r="H4635" s="13">
        <v>2612600</v>
      </c>
    </row>
    <row r="4636" spans="1:8" ht="18" customHeight="1" x14ac:dyDescent="0.15">
      <c r="A4636" s="252" t="s">
        <v>68</v>
      </c>
      <c r="B4636" s="12" t="s">
        <v>67</v>
      </c>
      <c r="C4636" s="11">
        <v>5372</v>
      </c>
      <c r="D4636" s="10">
        <v>84158497</v>
      </c>
      <c r="E4636" s="10">
        <v>51548400</v>
      </c>
      <c r="F4636" s="9">
        <v>14784113</v>
      </c>
      <c r="G4636" s="9">
        <v>11537264</v>
      </c>
      <c r="H4636" s="8">
        <v>6288719</v>
      </c>
    </row>
    <row r="4637" spans="1:8" ht="18" customHeight="1" thickBot="1" x14ac:dyDescent="0.2">
      <c r="A4637" s="253"/>
      <c r="B4637" s="7" t="s">
        <v>66</v>
      </c>
      <c r="C4637" s="6">
        <v>3480</v>
      </c>
      <c r="D4637" s="5" t="s">
        <v>65</v>
      </c>
      <c r="E4637" s="5" t="s">
        <v>54</v>
      </c>
      <c r="F4637" s="5" t="s">
        <v>54</v>
      </c>
      <c r="G4637" s="5" t="s">
        <v>54</v>
      </c>
      <c r="H4637" s="4" t="s">
        <v>54</v>
      </c>
    </row>
    <row r="4638" spans="1:8" ht="18" customHeight="1" x14ac:dyDescent="0.15">
      <c r="A4638" s="3" t="s">
        <v>126</v>
      </c>
      <c r="B4638" s="2"/>
      <c r="C4638" s="2"/>
      <c r="D4638" s="2"/>
      <c r="E4638" s="2"/>
      <c r="F4638" s="2"/>
      <c r="G4638" s="2"/>
      <c r="H4638" s="2"/>
    </row>
    <row r="4639" spans="1:8" ht="18" customHeight="1" x14ac:dyDescent="0.15">
      <c r="A4639" s="230" t="s">
        <v>125</v>
      </c>
      <c r="B4639" s="230"/>
      <c r="C4639" s="230"/>
      <c r="D4639" s="230"/>
      <c r="E4639" s="230"/>
      <c r="F4639" s="230"/>
      <c r="G4639" s="230"/>
      <c r="H4639" s="230"/>
    </row>
    <row r="4640" spans="1:8" ht="18" customHeight="1" x14ac:dyDescent="0.15">
      <c r="A4640" s="231"/>
      <c r="B4640" s="231"/>
      <c r="C4640" s="231"/>
      <c r="D4640" s="231"/>
      <c r="E4640" s="231"/>
      <c r="F4640" s="231"/>
      <c r="G4640" s="231"/>
      <c r="H4640" s="231"/>
    </row>
    <row r="4641" spans="1:8" ht="18" customHeight="1" thickBot="1" x14ac:dyDescent="0.2">
      <c r="A4641" s="58" t="s">
        <v>62</v>
      </c>
    </row>
    <row r="4642" spans="1:8" ht="18" customHeight="1" x14ac:dyDescent="0.15">
      <c r="A4642" s="232" t="s">
        <v>61</v>
      </c>
      <c r="B4642" s="235" t="s">
        <v>110</v>
      </c>
      <c r="C4642" s="238" t="s">
        <v>109</v>
      </c>
      <c r="D4642" s="241" t="s">
        <v>108</v>
      </c>
      <c r="E4642" s="57"/>
      <c r="F4642" s="56"/>
      <c r="G4642" s="56"/>
      <c r="H4642" s="55"/>
    </row>
    <row r="4643" spans="1:8" ht="18" customHeight="1" x14ac:dyDescent="0.15">
      <c r="A4643" s="233"/>
      <c r="B4643" s="236"/>
      <c r="C4643" s="239"/>
      <c r="D4643" s="242"/>
      <c r="E4643" s="244" t="s">
        <v>107</v>
      </c>
      <c r="F4643" s="254" t="s">
        <v>106</v>
      </c>
      <c r="G4643" s="254" t="s">
        <v>105</v>
      </c>
      <c r="H4643" s="256" t="s">
        <v>104</v>
      </c>
    </row>
    <row r="4644" spans="1:8" ht="18" customHeight="1" thickBot="1" x14ac:dyDescent="0.2">
      <c r="A4644" s="234"/>
      <c r="B4644" s="237"/>
      <c r="C4644" s="240"/>
      <c r="D4644" s="243"/>
      <c r="E4644" s="245"/>
      <c r="F4644" s="255"/>
      <c r="G4644" s="255"/>
      <c r="H4644" s="257"/>
    </row>
    <row r="4645" spans="1:8" ht="15" thickTop="1" x14ac:dyDescent="0.15">
      <c r="A4645" s="54"/>
      <c r="B4645" s="53"/>
      <c r="C4645" s="52"/>
      <c r="D4645" s="51" t="s">
        <v>103</v>
      </c>
      <c r="E4645" s="50" t="s">
        <v>103</v>
      </c>
      <c r="F4645" s="49" t="s">
        <v>103</v>
      </c>
      <c r="G4645" s="49" t="s">
        <v>103</v>
      </c>
      <c r="H4645" s="48" t="s">
        <v>103</v>
      </c>
    </row>
    <row r="4646" spans="1:8" ht="18" customHeight="1" x14ac:dyDescent="0.15">
      <c r="A4646" s="250" t="s">
        <v>102</v>
      </c>
      <c r="B4646" s="47" t="s">
        <v>101</v>
      </c>
      <c r="C4646" s="46">
        <v>3589</v>
      </c>
      <c r="D4646" s="45">
        <v>534832459</v>
      </c>
      <c r="E4646" s="45">
        <v>201611853</v>
      </c>
      <c r="F4646" s="44">
        <v>166823241</v>
      </c>
      <c r="G4646" s="44">
        <v>159440082</v>
      </c>
      <c r="H4646" s="43">
        <v>6957282</v>
      </c>
    </row>
    <row r="4647" spans="1:8" ht="18" customHeight="1" x14ac:dyDescent="0.15">
      <c r="A4647" s="250"/>
      <c r="B4647" s="41" t="s">
        <v>100</v>
      </c>
      <c r="C4647" s="39">
        <v>22</v>
      </c>
      <c r="D4647" s="38">
        <v>144350</v>
      </c>
      <c r="E4647" s="38">
        <v>64901</v>
      </c>
      <c r="F4647" s="37">
        <v>56067</v>
      </c>
      <c r="G4647" s="37">
        <v>23381</v>
      </c>
      <c r="H4647" s="36">
        <v>0</v>
      </c>
    </row>
    <row r="4648" spans="1:8" ht="13.5" x14ac:dyDescent="0.15">
      <c r="A4648" s="250"/>
      <c r="B4648" s="41" t="s">
        <v>99</v>
      </c>
      <c r="C4648" s="39">
        <v>21</v>
      </c>
      <c r="D4648" s="38">
        <v>545</v>
      </c>
      <c r="E4648" s="38">
        <v>532</v>
      </c>
      <c r="F4648" s="59">
        <v>0</v>
      </c>
      <c r="G4648" s="37">
        <v>13</v>
      </c>
      <c r="H4648" s="36">
        <v>0</v>
      </c>
    </row>
    <row r="4649" spans="1:8" ht="18" customHeight="1" x14ac:dyDescent="0.15">
      <c r="A4649" s="250"/>
      <c r="B4649" s="42" t="s">
        <v>98</v>
      </c>
      <c r="C4649" s="34">
        <v>1</v>
      </c>
      <c r="D4649" s="33">
        <v>155525</v>
      </c>
      <c r="E4649" s="33">
        <v>119684</v>
      </c>
      <c r="F4649" s="32">
        <v>5864</v>
      </c>
      <c r="G4649" s="32">
        <v>28401</v>
      </c>
      <c r="H4649" s="31">
        <v>1574</v>
      </c>
    </row>
    <row r="4650" spans="1:8" ht="18" customHeight="1" x14ac:dyDescent="0.15">
      <c r="A4650" s="250"/>
      <c r="B4650" s="41" t="s">
        <v>97</v>
      </c>
      <c r="C4650" s="39">
        <v>52</v>
      </c>
      <c r="D4650" s="38">
        <v>10565455</v>
      </c>
      <c r="E4650" s="38">
        <v>3100525</v>
      </c>
      <c r="F4650" s="37">
        <v>2508053</v>
      </c>
      <c r="G4650" s="37">
        <v>4925177</v>
      </c>
      <c r="H4650" s="36">
        <v>31698</v>
      </c>
    </row>
    <row r="4651" spans="1:8" ht="13.5" x14ac:dyDescent="0.15">
      <c r="A4651" s="250"/>
      <c r="B4651" s="40" t="s">
        <v>96</v>
      </c>
      <c r="C4651" s="39">
        <v>128</v>
      </c>
      <c r="D4651" s="38">
        <v>11253785</v>
      </c>
      <c r="E4651" s="38">
        <v>2904000</v>
      </c>
      <c r="F4651" s="37">
        <v>1110980</v>
      </c>
      <c r="G4651" s="37">
        <v>7193195</v>
      </c>
      <c r="H4651" s="36">
        <v>45608</v>
      </c>
    </row>
    <row r="4652" spans="1:8" ht="18" customHeight="1" x14ac:dyDescent="0.15">
      <c r="A4652" s="251"/>
      <c r="B4652" s="35" t="s">
        <v>95</v>
      </c>
      <c r="C4652" s="34">
        <v>43</v>
      </c>
      <c r="D4652" s="33">
        <v>131342</v>
      </c>
      <c r="E4652" s="33">
        <v>117605</v>
      </c>
      <c r="F4652" s="32">
        <v>2660</v>
      </c>
      <c r="G4652" s="32">
        <v>9981</v>
      </c>
      <c r="H4652" s="31">
        <v>1095</v>
      </c>
    </row>
    <row r="4653" spans="1:8" ht="18" customHeight="1" x14ac:dyDescent="0.15">
      <c r="A4653" s="30" t="s">
        <v>94</v>
      </c>
      <c r="B4653" s="29" t="s">
        <v>93</v>
      </c>
      <c r="C4653" s="28">
        <v>39</v>
      </c>
      <c r="D4653" s="15">
        <v>113972</v>
      </c>
      <c r="E4653" s="15">
        <v>111703</v>
      </c>
      <c r="F4653" s="14">
        <v>2030</v>
      </c>
      <c r="G4653" s="14">
        <v>9</v>
      </c>
      <c r="H4653" s="13">
        <v>229</v>
      </c>
    </row>
    <row r="4654" spans="1:8" ht="13.5" x14ac:dyDescent="0.15">
      <c r="A4654" s="252" t="s">
        <v>92</v>
      </c>
      <c r="B4654" s="17" t="s">
        <v>91</v>
      </c>
      <c r="C4654" s="16">
        <v>2918</v>
      </c>
      <c r="D4654" s="27">
        <v>58237747</v>
      </c>
      <c r="E4654" s="27">
        <v>9020624</v>
      </c>
      <c r="F4654" s="26">
        <v>6665536</v>
      </c>
      <c r="G4654" s="26">
        <v>35684455</v>
      </c>
      <c r="H4654" s="25">
        <v>6867130</v>
      </c>
    </row>
    <row r="4655" spans="1:8" ht="18" customHeight="1" x14ac:dyDescent="0.15">
      <c r="A4655" s="250"/>
      <c r="B4655" s="23" t="s">
        <v>90</v>
      </c>
      <c r="C4655" s="22">
        <v>3215</v>
      </c>
      <c r="D4655" s="21">
        <v>15599882</v>
      </c>
      <c r="E4655" s="21">
        <v>639268</v>
      </c>
      <c r="F4655" s="20">
        <v>2938820</v>
      </c>
      <c r="G4655" s="20">
        <v>10003625</v>
      </c>
      <c r="H4655" s="19">
        <v>2018168</v>
      </c>
    </row>
    <row r="4656" spans="1:8" ht="18" customHeight="1" x14ac:dyDescent="0.15">
      <c r="A4656" s="250"/>
      <c r="B4656" s="24" t="s">
        <v>89</v>
      </c>
      <c r="C4656" s="22">
        <v>611</v>
      </c>
      <c r="D4656" s="21">
        <v>36374206</v>
      </c>
      <c r="E4656" s="21">
        <v>2130442</v>
      </c>
      <c r="F4656" s="20">
        <v>5435924</v>
      </c>
      <c r="G4656" s="20">
        <v>22914958</v>
      </c>
      <c r="H4656" s="19">
        <v>5892881</v>
      </c>
    </row>
    <row r="4657" spans="1:8" ht="18" customHeight="1" x14ac:dyDescent="0.15">
      <c r="A4657" s="250"/>
      <c r="B4657" s="23" t="s">
        <v>88</v>
      </c>
      <c r="C4657" s="22">
        <v>1324</v>
      </c>
      <c r="D4657" s="21">
        <v>41156900</v>
      </c>
      <c r="E4657" s="21">
        <v>3618024</v>
      </c>
      <c r="F4657" s="20">
        <v>6336460</v>
      </c>
      <c r="G4657" s="20">
        <v>27721628</v>
      </c>
      <c r="H4657" s="19">
        <v>3480787</v>
      </c>
    </row>
    <row r="4658" spans="1:8" ht="18" customHeight="1" x14ac:dyDescent="0.15">
      <c r="A4658" s="250"/>
      <c r="B4658" s="23" t="s">
        <v>87</v>
      </c>
      <c r="C4658" s="22">
        <v>126</v>
      </c>
      <c r="D4658" s="21">
        <v>4700449</v>
      </c>
      <c r="E4658" s="21">
        <v>40994</v>
      </c>
      <c r="F4658" s="20">
        <v>188844</v>
      </c>
      <c r="G4658" s="20">
        <v>4393415</v>
      </c>
      <c r="H4658" s="19">
        <v>77195</v>
      </c>
    </row>
    <row r="4659" spans="1:8" ht="18" customHeight="1" x14ac:dyDescent="0.15">
      <c r="A4659" s="250"/>
      <c r="B4659" s="23" t="s">
        <v>86</v>
      </c>
      <c r="C4659" s="22">
        <v>85</v>
      </c>
      <c r="D4659" s="21">
        <v>912100</v>
      </c>
      <c r="E4659" s="21">
        <v>191880</v>
      </c>
      <c r="F4659" s="20">
        <v>43500</v>
      </c>
      <c r="G4659" s="20">
        <v>477420</v>
      </c>
      <c r="H4659" s="19">
        <v>199300</v>
      </c>
    </row>
    <row r="4660" spans="1:8" ht="18" customHeight="1" x14ac:dyDescent="0.15">
      <c r="A4660" s="250"/>
      <c r="B4660" s="23" t="s">
        <v>85</v>
      </c>
      <c r="C4660" s="22">
        <v>38</v>
      </c>
      <c r="D4660" s="21">
        <v>326206</v>
      </c>
      <c r="E4660" s="21">
        <v>117410</v>
      </c>
      <c r="F4660" s="20">
        <v>25096</v>
      </c>
      <c r="G4660" s="20">
        <v>124909</v>
      </c>
      <c r="H4660" s="19">
        <v>58790</v>
      </c>
    </row>
    <row r="4661" spans="1:8" ht="18" customHeight="1" x14ac:dyDescent="0.15">
      <c r="A4661" s="250"/>
      <c r="B4661" s="23" t="s">
        <v>84</v>
      </c>
      <c r="C4661" s="22">
        <v>0</v>
      </c>
      <c r="D4661" s="21">
        <v>0</v>
      </c>
      <c r="E4661" s="21">
        <v>0</v>
      </c>
      <c r="F4661" s="20">
        <v>0</v>
      </c>
      <c r="G4661" s="20">
        <v>0</v>
      </c>
      <c r="H4661" s="19">
        <v>0</v>
      </c>
    </row>
    <row r="4662" spans="1:8" ht="18" customHeight="1" x14ac:dyDescent="0.15">
      <c r="A4662" s="250"/>
      <c r="B4662" s="23" t="s">
        <v>83</v>
      </c>
      <c r="C4662" s="22">
        <v>269</v>
      </c>
      <c r="D4662" s="21">
        <v>11497620</v>
      </c>
      <c r="E4662" s="21">
        <v>793310</v>
      </c>
      <c r="F4662" s="20">
        <v>3486610</v>
      </c>
      <c r="G4662" s="20">
        <v>3832570</v>
      </c>
      <c r="H4662" s="19">
        <v>3385130</v>
      </c>
    </row>
    <row r="4663" spans="1:8" ht="18" customHeight="1" x14ac:dyDescent="0.15">
      <c r="A4663" s="250"/>
      <c r="B4663" s="23" t="s">
        <v>82</v>
      </c>
      <c r="C4663" s="22">
        <v>2863</v>
      </c>
      <c r="D4663" s="21">
        <v>59359682</v>
      </c>
      <c r="E4663" s="21">
        <v>11353949</v>
      </c>
      <c r="F4663" s="20">
        <v>7715994</v>
      </c>
      <c r="G4663" s="20">
        <v>34026711</v>
      </c>
      <c r="H4663" s="19">
        <v>6263026</v>
      </c>
    </row>
    <row r="4664" spans="1:8" ht="18" customHeight="1" x14ac:dyDescent="0.15">
      <c r="A4664" s="250"/>
      <c r="B4664" s="23" t="s">
        <v>81</v>
      </c>
      <c r="C4664" s="22">
        <v>550</v>
      </c>
      <c r="D4664" s="21">
        <v>15401884</v>
      </c>
      <c r="E4664" s="21">
        <v>1832920</v>
      </c>
      <c r="F4664" s="20">
        <v>1450635</v>
      </c>
      <c r="G4664" s="20">
        <v>10952613</v>
      </c>
      <c r="H4664" s="19">
        <v>1165714</v>
      </c>
    </row>
    <row r="4665" spans="1:8" ht="18" customHeight="1" x14ac:dyDescent="0.15">
      <c r="A4665" s="250"/>
      <c r="B4665" s="23" t="s">
        <v>80</v>
      </c>
      <c r="C4665" s="22">
        <v>42367</v>
      </c>
      <c r="D4665" s="21">
        <v>10827890</v>
      </c>
      <c r="E4665" s="21">
        <v>256126</v>
      </c>
      <c r="F4665" s="20">
        <v>6353170</v>
      </c>
      <c r="G4665" s="20">
        <v>4025133</v>
      </c>
      <c r="H4665" s="19">
        <v>193460</v>
      </c>
    </row>
    <row r="4666" spans="1:8" ht="18" customHeight="1" x14ac:dyDescent="0.15">
      <c r="A4666" s="250"/>
      <c r="B4666" s="23" t="s">
        <v>79</v>
      </c>
      <c r="C4666" s="22">
        <v>125</v>
      </c>
      <c r="D4666" s="21">
        <v>1418298</v>
      </c>
      <c r="E4666" s="21">
        <v>10861</v>
      </c>
      <c r="F4666" s="20">
        <v>1088173</v>
      </c>
      <c r="G4666" s="20">
        <v>319264</v>
      </c>
      <c r="H4666" s="19">
        <v>0</v>
      </c>
    </row>
    <row r="4667" spans="1:8" ht="18" customHeight="1" x14ac:dyDescent="0.15">
      <c r="A4667" s="250"/>
      <c r="B4667" s="23" t="s">
        <v>78</v>
      </c>
      <c r="C4667" s="22">
        <v>44</v>
      </c>
      <c r="D4667" s="21">
        <v>763800</v>
      </c>
      <c r="E4667" s="21">
        <v>119964</v>
      </c>
      <c r="F4667" s="20">
        <v>117300</v>
      </c>
      <c r="G4667" s="20">
        <v>430336</v>
      </c>
      <c r="H4667" s="19">
        <v>96200</v>
      </c>
    </row>
    <row r="4668" spans="1:8" ht="18" customHeight="1" x14ac:dyDescent="0.15">
      <c r="A4668" s="250"/>
      <c r="B4668" s="23" t="s">
        <v>77</v>
      </c>
      <c r="C4668" s="22">
        <v>433</v>
      </c>
      <c r="D4668" s="21">
        <v>2166173</v>
      </c>
      <c r="E4668" s="21">
        <v>325395</v>
      </c>
      <c r="F4668" s="20">
        <v>1078551</v>
      </c>
      <c r="G4668" s="20">
        <v>670970</v>
      </c>
      <c r="H4668" s="19">
        <v>91257</v>
      </c>
    </row>
    <row r="4669" spans="1:8" ht="18" customHeight="1" x14ac:dyDescent="0.15">
      <c r="A4669" s="250"/>
      <c r="B4669" s="23" t="s">
        <v>76</v>
      </c>
      <c r="C4669" s="22">
        <v>357</v>
      </c>
      <c r="D4669" s="21">
        <v>9567156</v>
      </c>
      <c r="E4669" s="21">
        <v>1003650</v>
      </c>
      <c r="F4669" s="20">
        <v>1976594</v>
      </c>
      <c r="G4669" s="20">
        <v>5922924</v>
      </c>
      <c r="H4669" s="19">
        <v>663987</v>
      </c>
    </row>
    <row r="4670" spans="1:8" ht="18" customHeight="1" x14ac:dyDescent="0.15">
      <c r="A4670" s="250"/>
      <c r="B4670" s="23" t="s">
        <v>75</v>
      </c>
      <c r="C4670" s="22">
        <v>38</v>
      </c>
      <c r="D4670" s="21">
        <v>1705000</v>
      </c>
      <c r="E4670" s="21">
        <v>139200</v>
      </c>
      <c r="F4670" s="20">
        <v>662700</v>
      </c>
      <c r="G4670" s="20">
        <v>772500</v>
      </c>
      <c r="H4670" s="19">
        <v>130600</v>
      </c>
    </row>
    <row r="4671" spans="1:8" ht="18" customHeight="1" x14ac:dyDescent="0.15">
      <c r="A4671" s="250"/>
      <c r="B4671" s="23" t="s">
        <v>74</v>
      </c>
      <c r="C4671" s="22">
        <v>0</v>
      </c>
      <c r="D4671" s="21">
        <v>0</v>
      </c>
      <c r="E4671" s="21">
        <v>0</v>
      </c>
      <c r="F4671" s="20">
        <v>0</v>
      </c>
      <c r="G4671" s="20">
        <v>0</v>
      </c>
      <c r="H4671" s="19">
        <v>0</v>
      </c>
    </row>
    <row r="4672" spans="1:8" ht="18" customHeight="1" x14ac:dyDescent="0.15">
      <c r="A4672" s="250"/>
      <c r="B4672" s="23" t="s">
        <v>73</v>
      </c>
      <c r="C4672" s="22">
        <v>16</v>
      </c>
      <c r="D4672" s="21">
        <v>500800</v>
      </c>
      <c r="E4672" s="21">
        <v>200</v>
      </c>
      <c r="F4672" s="20">
        <v>198800</v>
      </c>
      <c r="G4672" s="20">
        <v>299700</v>
      </c>
      <c r="H4672" s="19">
        <v>2100</v>
      </c>
    </row>
    <row r="4673" spans="1:8" ht="18" customHeight="1" x14ac:dyDescent="0.15">
      <c r="A4673" s="250"/>
      <c r="B4673" s="23" t="s">
        <v>72</v>
      </c>
      <c r="C4673" s="22">
        <v>1</v>
      </c>
      <c r="D4673" s="21">
        <v>3000</v>
      </c>
      <c r="E4673" s="21">
        <v>100</v>
      </c>
      <c r="F4673" s="20">
        <v>500</v>
      </c>
      <c r="G4673" s="20">
        <v>1000</v>
      </c>
      <c r="H4673" s="19">
        <v>1400</v>
      </c>
    </row>
    <row r="4674" spans="1:8" ht="18" customHeight="1" x14ac:dyDescent="0.15">
      <c r="A4674" s="251"/>
      <c r="B4674" s="23" t="s">
        <v>71</v>
      </c>
      <c r="C4674" s="22">
        <v>12</v>
      </c>
      <c r="D4674" s="21">
        <v>7105</v>
      </c>
      <c r="E4674" s="21">
        <v>805</v>
      </c>
      <c r="F4674" s="20">
        <v>0</v>
      </c>
      <c r="G4674" s="20">
        <v>5800</v>
      </c>
      <c r="H4674" s="19">
        <v>500</v>
      </c>
    </row>
    <row r="4675" spans="1:8" ht="18" customHeight="1" x14ac:dyDescent="0.15">
      <c r="A4675" s="18" t="s">
        <v>70</v>
      </c>
      <c r="B4675" s="17" t="s">
        <v>69</v>
      </c>
      <c r="C4675" s="16">
        <v>4211</v>
      </c>
      <c r="D4675" s="15">
        <v>17511080</v>
      </c>
      <c r="E4675" s="15">
        <v>1355880</v>
      </c>
      <c r="F4675" s="14">
        <v>5665077</v>
      </c>
      <c r="G4675" s="14">
        <v>7762823</v>
      </c>
      <c r="H4675" s="13">
        <v>2727300</v>
      </c>
    </row>
    <row r="4676" spans="1:8" ht="18" customHeight="1" x14ac:dyDescent="0.15">
      <c r="A4676" s="252" t="s">
        <v>68</v>
      </c>
      <c r="B4676" s="12" t="s">
        <v>67</v>
      </c>
      <c r="C4676" s="11">
        <v>5312</v>
      </c>
      <c r="D4676" s="10">
        <v>83213500</v>
      </c>
      <c r="E4676" s="10">
        <v>50853862</v>
      </c>
      <c r="F4676" s="9">
        <v>14717908</v>
      </c>
      <c r="G4676" s="9">
        <v>11448199</v>
      </c>
      <c r="H4676" s="8">
        <v>6193529</v>
      </c>
    </row>
    <row r="4677" spans="1:8" ht="18" customHeight="1" thickBot="1" x14ac:dyDescent="0.2">
      <c r="A4677" s="253"/>
      <c r="B4677" s="7" t="s">
        <v>66</v>
      </c>
      <c r="C4677" s="6">
        <v>3403</v>
      </c>
      <c r="D4677" s="5" t="s">
        <v>65</v>
      </c>
      <c r="E4677" s="5" t="s">
        <v>65</v>
      </c>
      <c r="F4677" s="5" t="s">
        <v>65</v>
      </c>
      <c r="G4677" s="5" t="s">
        <v>65</v>
      </c>
      <c r="H4677" s="4" t="s">
        <v>65</v>
      </c>
    </row>
    <row r="4678" spans="1:8" ht="18" customHeight="1" x14ac:dyDescent="0.15">
      <c r="A4678" s="3" t="s">
        <v>124</v>
      </c>
      <c r="B4678" s="2"/>
      <c r="C4678" s="2"/>
      <c r="D4678" s="2"/>
      <c r="E4678" s="2"/>
      <c r="F4678" s="2"/>
      <c r="G4678" s="2"/>
      <c r="H4678" s="2"/>
    </row>
    <row r="4679" spans="1:8" ht="18" customHeight="1" x14ac:dyDescent="0.15">
      <c r="A4679" s="230" t="s">
        <v>123</v>
      </c>
      <c r="B4679" s="230"/>
      <c r="C4679" s="230"/>
      <c r="D4679" s="230"/>
      <c r="E4679" s="230"/>
      <c r="F4679" s="230"/>
      <c r="G4679" s="230"/>
      <c r="H4679" s="230"/>
    </row>
    <row r="4680" spans="1:8" ht="18" customHeight="1" x14ac:dyDescent="0.15">
      <c r="A4680" s="231"/>
      <c r="B4680" s="231"/>
      <c r="C4680" s="231"/>
      <c r="D4680" s="231"/>
      <c r="E4680" s="231"/>
      <c r="F4680" s="231"/>
      <c r="G4680" s="231"/>
      <c r="H4680" s="231"/>
    </row>
    <row r="4681" spans="1:8" ht="18" customHeight="1" thickBot="1" x14ac:dyDescent="0.2">
      <c r="A4681" s="58" t="s">
        <v>62</v>
      </c>
    </row>
    <row r="4682" spans="1:8" ht="18" customHeight="1" x14ac:dyDescent="0.15">
      <c r="A4682" s="232" t="s">
        <v>61</v>
      </c>
      <c r="B4682" s="235" t="s">
        <v>110</v>
      </c>
      <c r="C4682" s="238" t="s">
        <v>109</v>
      </c>
      <c r="D4682" s="241" t="s">
        <v>108</v>
      </c>
      <c r="E4682" s="57"/>
      <c r="F4682" s="56"/>
      <c r="G4682" s="56"/>
      <c r="H4682" s="55"/>
    </row>
    <row r="4683" spans="1:8" ht="18" customHeight="1" x14ac:dyDescent="0.15">
      <c r="A4683" s="233"/>
      <c r="B4683" s="236"/>
      <c r="C4683" s="239"/>
      <c r="D4683" s="242"/>
      <c r="E4683" s="244" t="s">
        <v>107</v>
      </c>
      <c r="F4683" s="254" t="s">
        <v>106</v>
      </c>
      <c r="G4683" s="254" t="s">
        <v>105</v>
      </c>
      <c r="H4683" s="256" t="s">
        <v>104</v>
      </c>
    </row>
    <row r="4684" spans="1:8" ht="18" customHeight="1" thickBot="1" x14ac:dyDescent="0.2">
      <c r="A4684" s="234"/>
      <c r="B4684" s="237"/>
      <c r="C4684" s="240"/>
      <c r="D4684" s="243"/>
      <c r="E4684" s="245"/>
      <c r="F4684" s="255"/>
      <c r="G4684" s="255"/>
      <c r="H4684" s="257"/>
    </row>
    <row r="4685" spans="1:8" ht="18" customHeight="1" thickTop="1" x14ac:dyDescent="0.15">
      <c r="A4685" s="54"/>
      <c r="B4685" s="53"/>
      <c r="C4685" s="52"/>
      <c r="D4685" s="51" t="s">
        <v>103</v>
      </c>
      <c r="E4685" s="50" t="s">
        <v>103</v>
      </c>
      <c r="F4685" s="49" t="s">
        <v>103</v>
      </c>
      <c r="G4685" s="49" t="s">
        <v>103</v>
      </c>
      <c r="H4685" s="48" t="s">
        <v>103</v>
      </c>
    </row>
    <row r="4686" spans="1:8" ht="18" customHeight="1" x14ac:dyDescent="0.15">
      <c r="A4686" s="250" t="s">
        <v>102</v>
      </c>
      <c r="B4686" s="47" t="s">
        <v>101</v>
      </c>
      <c r="C4686" s="46">
        <v>3591</v>
      </c>
      <c r="D4686" s="45">
        <v>529961700</v>
      </c>
      <c r="E4686" s="45">
        <v>200222709</v>
      </c>
      <c r="F4686" s="44">
        <v>166400714</v>
      </c>
      <c r="G4686" s="44">
        <v>156676836</v>
      </c>
      <c r="H4686" s="43">
        <v>6661440</v>
      </c>
    </row>
    <row r="4687" spans="1:8" ht="18" customHeight="1" x14ac:dyDescent="0.15">
      <c r="A4687" s="250"/>
      <c r="B4687" s="41" t="s">
        <v>100</v>
      </c>
      <c r="C4687" s="39">
        <v>22</v>
      </c>
      <c r="D4687" s="38">
        <v>151286</v>
      </c>
      <c r="E4687" s="38">
        <v>65330</v>
      </c>
      <c r="F4687" s="37">
        <v>64088</v>
      </c>
      <c r="G4687" s="37">
        <v>21868</v>
      </c>
      <c r="H4687" s="36">
        <v>0</v>
      </c>
    </row>
    <row r="4688" spans="1:8" ht="13.5" x14ac:dyDescent="0.15">
      <c r="A4688" s="250"/>
      <c r="B4688" s="41" t="s">
        <v>99</v>
      </c>
      <c r="C4688" s="39">
        <v>20</v>
      </c>
      <c r="D4688" s="38">
        <v>376</v>
      </c>
      <c r="E4688" s="38">
        <v>359</v>
      </c>
      <c r="F4688" s="37">
        <v>5</v>
      </c>
      <c r="G4688" s="37">
        <v>12</v>
      </c>
      <c r="H4688" s="36">
        <v>0</v>
      </c>
    </row>
    <row r="4689" spans="1:8" ht="18" customHeight="1" x14ac:dyDescent="0.15">
      <c r="A4689" s="250"/>
      <c r="B4689" s="42" t="s">
        <v>98</v>
      </c>
      <c r="C4689" s="34">
        <v>1</v>
      </c>
      <c r="D4689" s="33">
        <v>152834</v>
      </c>
      <c r="E4689" s="33">
        <v>117615</v>
      </c>
      <c r="F4689" s="32">
        <v>5765</v>
      </c>
      <c r="G4689" s="32">
        <v>27910</v>
      </c>
      <c r="H4689" s="31">
        <v>1542</v>
      </c>
    </row>
    <row r="4690" spans="1:8" ht="18" customHeight="1" x14ac:dyDescent="0.15">
      <c r="A4690" s="250"/>
      <c r="B4690" s="41" t="s">
        <v>97</v>
      </c>
      <c r="C4690" s="39">
        <v>51</v>
      </c>
      <c r="D4690" s="38">
        <v>10491115</v>
      </c>
      <c r="E4690" s="38">
        <v>3123446</v>
      </c>
      <c r="F4690" s="37">
        <v>2442630</v>
      </c>
      <c r="G4690" s="37">
        <v>4890700</v>
      </c>
      <c r="H4690" s="36">
        <v>34339</v>
      </c>
    </row>
    <row r="4691" spans="1:8" ht="13.5" x14ac:dyDescent="0.15">
      <c r="A4691" s="250"/>
      <c r="B4691" s="40" t="s">
        <v>96</v>
      </c>
      <c r="C4691" s="39">
        <v>123</v>
      </c>
      <c r="D4691" s="38">
        <v>10649838</v>
      </c>
      <c r="E4691" s="38">
        <v>2616534</v>
      </c>
      <c r="F4691" s="37">
        <v>1140762</v>
      </c>
      <c r="G4691" s="37">
        <v>6833513</v>
      </c>
      <c r="H4691" s="36">
        <v>59027</v>
      </c>
    </row>
    <row r="4692" spans="1:8" ht="18" customHeight="1" x14ac:dyDescent="0.15">
      <c r="A4692" s="251"/>
      <c r="B4692" s="35" t="s">
        <v>95</v>
      </c>
      <c r="C4692" s="34">
        <v>43</v>
      </c>
      <c r="D4692" s="33">
        <v>114885</v>
      </c>
      <c r="E4692" s="33">
        <v>100473</v>
      </c>
      <c r="F4692" s="32">
        <v>4259</v>
      </c>
      <c r="G4692" s="32">
        <v>9486</v>
      </c>
      <c r="H4692" s="31">
        <v>665</v>
      </c>
    </row>
    <row r="4693" spans="1:8" ht="18" customHeight="1" x14ac:dyDescent="0.15">
      <c r="A4693" s="30" t="s">
        <v>94</v>
      </c>
      <c r="B4693" s="29" t="s">
        <v>93</v>
      </c>
      <c r="C4693" s="28">
        <v>39</v>
      </c>
      <c r="D4693" s="15">
        <v>117516</v>
      </c>
      <c r="E4693" s="15">
        <v>114530</v>
      </c>
      <c r="F4693" s="14">
        <v>2729</v>
      </c>
      <c r="G4693" s="14">
        <v>3</v>
      </c>
      <c r="H4693" s="13">
        <v>252</v>
      </c>
    </row>
    <row r="4694" spans="1:8" ht="13.5" x14ac:dyDescent="0.15">
      <c r="A4694" s="252" t="s">
        <v>92</v>
      </c>
      <c r="B4694" s="17" t="s">
        <v>91</v>
      </c>
      <c r="C4694" s="16">
        <v>2909</v>
      </c>
      <c r="D4694" s="27">
        <v>58114404</v>
      </c>
      <c r="E4694" s="27">
        <v>9049834</v>
      </c>
      <c r="F4694" s="26">
        <v>6692270</v>
      </c>
      <c r="G4694" s="26">
        <v>35554394</v>
      </c>
      <c r="H4694" s="25">
        <v>6817905</v>
      </c>
    </row>
    <row r="4695" spans="1:8" ht="18" customHeight="1" x14ac:dyDescent="0.15">
      <c r="A4695" s="250"/>
      <c r="B4695" s="23" t="s">
        <v>90</v>
      </c>
      <c r="C4695" s="22">
        <v>3217</v>
      </c>
      <c r="D4695" s="21">
        <v>15618882</v>
      </c>
      <c r="E4695" s="21">
        <v>688098</v>
      </c>
      <c r="F4695" s="20">
        <v>2949290</v>
      </c>
      <c r="G4695" s="20">
        <v>9955304</v>
      </c>
      <c r="H4695" s="19">
        <v>2026188</v>
      </c>
    </row>
    <row r="4696" spans="1:8" ht="18" customHeight="1" x14ac:dyDescent="0.15">
      <c r="A4696" s="250"/>
      <c r="B4696" s="24" t="s">
        <v>89</v>
      </c>
      <c r="C4696" s="22">
        <v>613</v>
      </c>
      <c r="D4696" s="21">
        <v>36549233</v>
      </c>
      <c r="E4696" s="21">
        <v>2092689</v>
      </c>
      <c r="F4696" s="20">
        <v>5490568</v>
      </c>
      <c r="G4696" s="20">
        <v>23085313</v>
      </c>
      <c r="H4696" s="19">
        <v>5880661</v>
      </c>
    </row>
    <row r="4697" spans="1:8" ht="18" customHeight="1" x14ac:dyDescent="0.15">
      <c r="A4697" s="250"/>
      <c r="B4697" s="23" t="s">
        <v>88</v>
      </c>
      <c r="C4697" s="22">
        <v>1316</v>
      </c>
      <c r="D4697" s="21">
        <v>40986900</v>
      </c>
      <c r="E4697" s="21">
        <v>3627247</v>
      </c>
      <c r="F4697" s="20">
        <v>6347650</v>
      </c>
      <c r="G4697" s="20">
        <v>27558677</v>
      </c>
      <c r="H4697" s="19">
        <v>3453325</v>
      </c>
    </row>
    <row r="4698" spans="1:8" ht="18" customHeight="1" x14ac:dyDescent="0.15">
      <c r="A4698" s="250"/>
      <c r="B4698" s="23" t="s">
        <v>87</v>
      </c>
      <c r="C4698" s="22">
        <v>125</v>
      </c>
      <c r="D4698" s="21">
        <v>4675449</v>
      </c>
      <c r="E4698" s="21">
        <v>44873</v>
      </c>
      <c r="F4698" s="20">
        <v>188655</v>
      </c>
      <c r="G4698" s="20">
        <v>4366100</v>
      </c>
      <c r="H4698" s="19">
        <v>75820</v>
      </c>
    </row>
    <row r="4699" spans="1:8" ht="18" customHeight="1" x14ac:dyDescent="0.15">
      <c r="A4699" s="250"/>
      <c r="B4699" s="23" t="s">
        <v>86</v>
      </c>
      <c r="C4699" s="22">
        <v>85</v>
      </c>
      <c r="D4699" s="21">
        <v>912100</v>
      </c>
      <c r="E4699" s="21">
        <v>191380</v>
      </c>
      <c r="F4699" s="20">
        <v>44300</v>
      </c>
      <c r="G4699" s="20">
        <v>477320</v>
      </c>
      <c r="H4699" s="19">
        <v>199100</v>
      </c>
    </row>
    <row r="4700" spans="1:8" ht="18" customHeight="1" x14ac:dyDescent="0.15">
      <c r="A4700" s="250"/>
      <c r="B4700" s="23" t="s">
        <v>85</v>
      </c>
      <c r="C4700" s="22">
        <v>38</v>
      </c>
      <c r="D4700" s="21">
        <v>326206</v>
      </c>
      <c r="E4700" s="21">
        <v>117410</v>
      </c>
      <c r="F4700" s="20">
        <v>25096</v>
      </c>
      <c r="G4700" s="20">
        <v>124909</v>
      </c>
      <c r="H4700" s="19">
        <v>58790</v>
      </c>
    </row>
    <row r="4701" spans="1:8" ht="18" customHeight="1" x14ac:dyDescent="0.15">
      <c r="A4701" s="250"/>
      <c r="B4701" s="23" t="s">
        <v>84</v>
      </c>
      <c r="C4701" s="22">
        <v>0</v>
      </c>
      <c r="D4701" s="21">
        <v>0</v>
      </c>
      <c r="E4701" s="21">
        <v>0</v>
      </c>
      <c r="F4701" s="20">
        <v>0</v>
      </c>
      <c r="G4701" s="20">
        <v>0</v>
      </c>
      <c r="H4701" s="19">
        <v>0</v>
      </c>
    </row>
    <row r="4702" spans="1:8" ht="18" customHeight="1" x14ac:dyDescent="0.15">
      <c r="A4702" s="250"/>
      <c r="B4702" s="23" t="s">
        <v>83</v>
      </c>
      <c r="C4702" s="22">
        <v>268</v>
      </c>
      <c r="D4702" s="21">
        <v>11542070</v>
      </c>
      <c r="E4702" s="21">
        <v>791490</v>
      </c>
      <c r="F4702" s="20">
        <v>3525460</v>
      </c>
      <c r="G4702" s="20">
        <v>3847900</v>
      </c>
      <c r="H4702" s="19">
        <v>3377220</v>
      </c>
    </row>
    <row r="4703" spans="1:8" ht="18" customHeight="1" x14ac:dyDescent="0.15">
      <c r="A4703" s="250"/>
      <c r="B4703" s="23" t="s">
        <v>82</v>
      </c>
      <c r="C4703" s="22">
        <v>2869</v>
      </c>
      <c r="D4703" s="21">
        <v>59775039</v>
      </c>
      <c r="E4703" s="21">
        <v>11478017</v>
      </c>
      <c r="F4703" s="20">
        <v>7735041</v>
      </c>
      <c r="G4703" s="20">
        <v>34234292</v>
      </c>
      <c r="H4703" s="19">
        <v>6327688</v>
      </c>
    </row>
    <row r="4704" spans="1:8" ht="18" customHeight="1" x14ac:dyDescent="0.15">
      <c r="A4704" s="250"/>
      <c r="B4704" s="23" t="s">
        <v>81</v>
      </c>
      <c r="C4704" s="22">
        <v>551</v>
      </c>
      <c r="D4704" s="21">
        <v>15431884</v>
      </c>
      <c r="E4704" s="21">
        <v>1854317</v>
      </c>
      <c r="F4704" s="20">
        <v>1452252</v>
      </c>
      <c r="G4704" s="20">
        <v>10969342</v>
      </c>
      <c r="H4704" s="19">
        <v>1155971</v>
      </c>
    </row>
    <row r="4705" spans="1:8" ht="18" customHeight="1" x14ac:dyDescent="0.15">
      <c r="A4705" s="250"/>
      <c r="B4705" s="23" t="s">
        <v>80</v>
      </c>
      <c r="C4705" s="22">
        <v>42389</v>
      </c>
      <c r="D4705" s="21">
        <v>10831183</v>
      </c>
      <c r="E4705" s="21">
        <v>261846</v>
      </c>
      <c r="F4705" s="20">
        <v>6363996</v>
      </c>
      <c r="G4705" s="20">
        <v>4016340</v>
      </c>
      <c r="H4705" s="19">
        <v>189000</v>
      </c>
    </row>
    <row r="4706" spans="1:8" ht="18" customHeight="1" x14ac:dyDescent="0.15">
      <c r="A4706" s="250"/>
      <c r="B4706" s="23" t="s">
        <v>79</v>
      </c>
      <c r="C4706" s="22">
        <v>119</v>
      </c>
      <c r="D4706" s="21">
        <v>1396345</v>
      </c>
      <c r="E4706" s="21">
        <v>10861</v>
      </c>
      <c r="F4706" s="20">
        <v>1075760</v>
      </c>
      <c r="G4706" s="20">
        <v>309724</v>
      </c>
      <c r="H4706" s="19">
        <v>0</v>
      </c>
    </row>
    <row r="4707" spans="1:8" ht="18" customHeight="1" x14ac:dyDescent="0.15">
      <c r="A4707" s="250"/>
      <c r="B4707" s="23" t="s">
        <v>78</v>
      </c>
      <c r="C4707" s="22">
        <v>44</v>
      </c>
      <c r="D4707" s="21">
        <v>763800</v>
      </c>
      <c r="E4707" s="21">
        <v>117564</v>
      </c>
      <c r="F4707" s="20">
        <v>117100</v>
      </c>
      <c r="G4707" s="20">
        <v>432836</v>
      </c>
      <c r="H4707" s="19">
        <v>96300</v>
      </c>
    </row>
    <row r="4708" spans="1:8" ht="18" customHeight="1" x14ac:dyDescent="0.15">
      <c r="A4708" s="250"/>
      <c r="B4708" s="23" t="s">
        <v>77</v>
      </c>
      <c r="C4708" s="22">
        <v>438</v>
      </c>
      <c r="D4708" s="21">
        <v>2098417</v>
      </c>
      <c r="E4708" s="21">
        <v>344480</v>
      </c>
      <c r="F4708" s="20">
        <v>1016625</v>
      </c>
      <c r="G4708" s="20">
        <v>646055</v>
      </c>
      <c r="H4708" s="19">
        <v>91257</v>
      </c>
    </row>
    <row r="4709" spans="1:8" ht="18" customHeight="1" x14ac:dyDescent="0.15">
      <c r="A4709" s="250"/>
      <c r="B4709" s="23" t="s">
        <v>76</v>
      </c>
      <c r="C4709" s="22">
        <v>357</v>
      </c>
      <c r="D4709" s="21">
        <v>9553856</v>
      </c>
      <c r="E4709" s="21">
        <v>1009270</v>
      </c>
      <c r="F4709" s="20">
        <v>1983994</v>
      </c>
      <c r="G4709" s="20">
        <v>5897004</v>
      </c>
      <c r="H4709" s="19">
        <v>663587</v>
      </c>
    </row>
    <row r="4710" spans="1:8" ht="18" customHeight="1" x14ac:dyDescent="0.15">
      <c r="A4710" s="250"/>
      <c r="B4710" s="23" t="s">
        <v>75</v>
      </c>
      <c r="C4710" s="22">
        <v>39</v>
      </c>
      <c r="D4710" s="21">
        <v>1707200</v>
      </c>
      <c r="E4710" s="21">
        <v>139200</v>
      </c>
      <c r="F4710" s="20">
        <v>662700</v>
      </c>
      <c r="G4710" s="20">
        <v>774700</v>
      </c>
      <c r="H4710" s="19">
        <v>130600</v>
      </c>
    </row>
    <row r="4711" spans="1:8" ht="18" customHeight="1" x14ac:dyDescent="0.15">
      <c r="A4711" s="250"/>
      <c r="B4711" s="23" t="s">
        <v>74</v>
      </c>
      <c r="C4711" s="22">
        <v>0</v>
      </c>
      <c r="D4711" s="21">
        <v>0</v>
      </c>
      <c r="E4711" s="21">
        <v>0</v>
      </c>
      <c r="F4711" s="20">
        <v>0</v>
      </c>
      <c r="G4711" s="20">
        <v>0</v>
      </c>
      <c r="H4711" s="19">
        <v>0</v>
      </c>
    </row>
    <row r="4712" spans="1:8" ht="18" customHeight="1" x14ac:dyDescent="0.15">
      <c r="A4712" s="250"/>
      <c r="B4712" s="23" t="s">
        <v>73</v>
      </c>
      <c r="C4712" s="22">
        <v>16</v>
      </c>
      <c r="D4712" s="21">
        <v>500800</v>
      </c>
      <c r="E4712" s="21">
        <v>200</v>
      </c>
      <c r="F4712" s="20">
        <v>198800</v>
      </c>
      <c r="G4712" s="20">
        <v>299700</v>
      </c>
      <c r="H4712" s="19">
        <v>2100</v>
      </c>
    </row>
    <row r="4713" spans="1:8" ht="18" customHeight="1" x14ac:dyDescent="0.15">
      <c r="A4713" s="250"/>
      <c r="B4713" s="23" t="s">
        <v>72</v>
      </c>
      <c r="C4713" s="22">
        <v>1</v>
      </c>
      <c r="D4713" s="21">
        <v>3000</v>
      </c>
      <c r="E4713" s="21">
        <v>100</v>
      </c>
      <c r="F4713" s="20">
        <v>500</v>
      </c>
      <c r="G4713" s="20">
        <v>1000</v>
      </c>
      <c r="H4713" s="19">
        <v>1400</v>
      </c>
    </row>
    <row r="4714" spans="1:8" ht="18" customHeight="1" x14ac:dyDescent="0.15">
      <c r="A4714" s="251"/>
      <c r="B4714" s="23" t="s">
        <v>71</v>
      </c>
      <c r="C4714" s="22">
        <v>13</v>
      </c>
      <c r="D4714" s="21">
        <v>7205</v>
      </c>
      <c r="E4714" s="21">
        <v>905</v>
      </c>
      <c r="F4714" s="20">
        <v>0</v>
      </c>
      <c r="G4714" s="20">
        <v>5800</v>
      </c>
      <c r="H4714" s="19">
        <v>500</v>
      </c>
    </row>
    <row r="4715" spans="1:8" ht="18" customHeight="1" x14ac:dyDescent="0.15">
      <c r="A4715" s="18" t="s">
        <v>70</v>
      </c>
      <c r="B4715" s="17" t="s">
        <v>69</v>
      </c>
      <c r="C4715" s="16">
        <v>4199</v>
      </c>
      <c r="D4715" s="15">
        <v>16446576</v>
      </c>
      <c r="E4715" s="15">
        <v>1195280</v>
      </c>
      <c r="F4715" s="14">
        <v>5174467</v>
      </c>
      <c r="G4715" s="14">
        <v>7780919</v>
      </c>
      <c r="H4715" s="13">
        <v>2295910</v>
      </c>
    </row>
    <row r="4716" spans="1:8" ht="18" customHeight="1" x14ac:dyDescent="0.15">
      <c r="A4716" s="252" t="s">
        <v>68</v>
      </c>
      <c r="B4716" s="12" t="s">
        <v>67</v>
      </c>
      <c r="C4716" s="11">
        <v>5287</v>
      </c>
      <c r="D4716" s="10">
        <v>83061644</v>
      </c>
      <c r="E4716" s="10">
        <v>50730130</v>
      </c>
      <c r="F4716" s="9">
        <v>14734353</v>
      </c>
      <c r="G4716" s="9">
        <v>11421636</v>
      </c>
      <c r="H4716" s="8">
        <v>6175523</v>
      </c>
    </row>
    <row r="4717" spans="1:8" ht="18" customHeight="1" thickBot="1" x14ac:dyDescent="0.2">
      <c r="A4717" s="253"/>
      <c r="B4717" s="7" t="s">
        <v>66</v>
      </c>
      <c r="C4717" s="6">
        <v>3354</v>
      </c>
      <c r="D4717" s="5" t="s">
        <v>65</v>
      </c>
      <c r="E4717" s="5" t="s">
        <v>65</v>
      </c>
      <c r="F4717" s="5" t="s">
        <v>54</v>
      </c>
      <c r="G4717" s="5" t="s">
        <v>54</v>
      </c>
      <c r="H4717" s="4" t="s">
        <v>54</v>
      </c>
    </row>
    <row r="4718" spans="1:8" ht="18" customHeight="1" x14ac:dyDescent="0.15">
      <c r="A4718" s="3" t="s">
        <v>122</v>
      </c>
      <c r="B4718" s="2"/>
      <c r="C4718" s="2"/>
      <c r="D4718" s="2"/>
      <c r="E4718" s="2"/>
      <c r="F4718" s="2"/>
      <c r="G4718" s="2"/>
      <c r="H4718" s="2"/>
    </row>
    <row r="4719" spans="1:8" ht="18" customHeight="1" x14ac:dyDescent="0.15">
      <c r="A4719" s="230" t="s">
        <v>121</v>
      </c>
      <c r="B4719" s="230"/>
      <c r="C4719" s="230"/>
      <c r="D4719" s="230"/>
      <c r="E4719" s="230"/>
      <c r="F4719" s="230"/>
      <c r="G4719" s="230"/>
      <c r="H4719" s="230"/>
    </row>
    <row r="4720" spans="1:8" ht="18" customHeight="1" x14ac:dyDescent="0.15">
      <c r="A4720" s="231"/>
      <c r="B4720" s="231"/>
      <c r="C4720" s="231"/>
      <c r="D4720" s="231"/>
      <c r="E4720" s="231"/>
      <c r="F4720" s="231"/>
      <c r="G4720" s="231"/>
      <c r="H4720" s="231"/>
    </row>
    <row r="4721" spans="1:8" ht="18" customHeight="1" thickBot="1" x14ac:dyDescent="0.2">
      <c r="A4721" s="58" t="s">
        <v>62</v>
      </c>
    </row>
    <row r="4722" spans="1:8" ht="18" customHeight="1" x14ac:dyDescent="0.15">
      <c r="A4722" s="232" t="s">
        <v>61</v>
      </c>
      <c r="B4722" s="235" t="s">
        <v>110</v>
      </c>
      <c r="C4722" s="238" t="s">
        <v>109</v>
      </c>
      <c r="D4722" s="241" t="s">
        <v>108</v>
      </c>
      <c r="E4722" s="57"/>
      <c r="F4722" s="56"/>
      <c r="G4722" s="56"/>
      <c r="H4722" s="55"/>
    </row>
    <row r="4723" spans="1:8" ht="18" customHeight="1" x14ac:dyDescent="0.15">
      <c r="A4723" s="233"/>
      <c r="B4723" s="236"/>
      <c r="C4723" s="239"/>
      <c r="D4723" s="242"/>
      <c r="E4723" s="244" t="s">
        <v>107</v>
      </c>
      <c r="F4723" s="254" t="s">
        <v>106</v>
      </c>
      <c r="G4723" s="254" t="s">
        <v>105</v>
      </c>
      <c r="H4723" s="256" t="s">
        <v>104</v>
      </c>
    </row>
    <row r="4724" spans="1:8" ht="18" customHeight="1" thickBot="1" x14ac:dyDescent="0.2">
      <c r="A4724" s="234"/>
      <c r="B4724" s="237"/>
      <c r="C4724" s="240"/>
      <c r="D4724" s="243"/>
      <c r="E4724" s="245"/>
      <c r="F4724" s="255"/>
      <c r="G4724" s="255"/>
      <c r="H4724" s="257"/>
    </row>
    <row r="4725" spans="1:8" ht="18" customHeight="1" thickTop="1" x14ac:dyDescent="0.15">
      <c r="A4725" s="54"/>
      <c r="B4725" s="53"/>
      <c r="C4725" s="52"/>
      <c r="D4725" s="51" t="s">
        <v>103</v>
      </c>
      <c r="E4725" s="50" t="s">
        <v>103</v>
      </c>
      <c r="F4725" s="49" t="s">
        <v>103</v>
      </c>
      <c r="G4725" s="49" t="s">
        <v>103</v>
      </c>
      <c r="H4725" s="48" t="s">
        <v>103</v>
      </c>
    </row>
    <row r="4726" spans="1:8" ht="18" customHeight="1" x14ac:dyDescent="0.15">
      <c r="A4726" s="250" t="s">
        <v>102</v>
      </c>
      <c r="B4726" s="47" t="s">
        <v>101</v>
      </c>
      <c r="C4726" s="46">
        <v>3565</v>
      </c>
      <c r="D4726" s="45">
        <v>530408611</v>
      </c>
      <c r="E4726" s="45">
        <v>200369186</v>
      </c>
      <c r="F4726" s="44">
        <v>168410135</v>
      </c>
      <c r="G4726" s="44">
        <v>154498627</v>
      </c>
      <c r="H4726" s="43">
        <v>7130662</v>
      </c>
    </row>
    <row r="4727" spans="1:8" ht="18" customHeight="1" x14ac:dyDescent="0.15">
      <c r="A4727" s="250"/>
      <c r="B4727" s="41" t="s">
        <v>100</v>
      </c>
      <c r="C4727" s="39">
        <v>22</v>
      </c>
      <c r="D4727" s="38">
        <v>150665</v>
      </c>
      <c r="E4727" s="38">
        <v>68570</v>
      </c>
      <c r="F4727" s="37">
        <v>60347</v>
      </c>
      <c r="G4727" s="37">
        <v>21747</v>
      </c>
      <c r="H4727" s="36">
        <v>0</v>
      </c>
    </row>
    <row r="4728" spans="1:8" ht="18" customHeight="1" x14ac:dyDescent="0.15">
      <c r="A4728" s="250"/>
      <c r="B4728" s="41" t="s">
        <v>99</v>
      </c>
      <c r="C4728" s="39">
        <v>16</v>
      </c>
      <c r="D4728" s="38">
        <v>0</v>
      </c>
      <c r="E4728" s="38">
        <v>0</v>
      </c>
      <c r="F4728" s="37">
        <v>0</v>
      </c>
      <c r="G4728" s="37">
        <v>0</v>
      </c>
      <c r="H4728" s="36">
        <v>0</v>
      </c>
    </row>
    <row r="4729" spans="1:8" ht="18" customHeight="1" x14ac:dyDescent="0.15">
      <c r="A4729" s="250"/>
      <c r="B4729" s="42" t="s">
        <v>98</v>
      </c>
      <c r="C4729" s="34">
        <v>1</v>
      </c>
      <c r="D4729" s="33">
        <v>148726</v>
      </c>
      <c r="E4729" s="33">
        <v>114470</v>
      </c>
      <c r="F4729" s="32">
        <v>5593</v>
      </c>
      <c r="G4729" s="32">
        <v>26386</v>
      </c>
      <c r="H4729" s="31">
        <v>2276</v>
      </c>
    </row>
    <row r="4730" spans="1:8" ht="18" customHeight="1" x14ac:dyDescent="0.15">
      <c r="A4730" s="250"/>
      <c r="B4730" s="41" t="s">
        <v>97</v>
      </c>
      <c r="C4730" s="39">
        <v>51</v>
      </c>
      <c r="D4730" s="38">
        <v>9963531</v>
      </c>
      <c r="E4730" s="38">
        <v>2976005</v>
      </c>
      <c r="F4730" s="37">
        <v>2338632</v>
      </c>
      <c r="G4730" s="37">
        <v>4631135</v>
      </c>
      <c r="H4730" s="36">
        <v>17757</v>
      </c>
    </row>
    <row r="4731" spans="1:8" ht="13.5" x14ac:dyDescent="0.15">
      <c r="A4731" s="250"/>
      <c r="B4731" s="40" t="s">
        <v>96</v>
      </c>
      <c r="C4731" s="39">
        <v>122</v>
      </c>
      <c r="D4731" s="38">
        <v>10026964</v>
      </c>
      <c r="E4731" s="38">
        <v>2671542</v>
      </c>
      <c r="F4731" s="37">
        <v>1034216</v>
      </c>
      <c r="G4731" s="37">
        <v>6289865</v>
      </c>
      <c r="H4731" s="36">
        <v>31340</v>
      </c>
    </row>
    <row r="4732" spans="1:8" ht="18" customHeight="1" x14ac:dyDescent="0.15">
      <c r="A4732" s="251"/>
      <c r="B4732" s="35" t="s">
        <v>95</v>
      </c>
      <c r="C4732" s="34">
        <v>43</v>
      </c>
      <c r="D4732" s="33">
        <v>108319</v>
      </c>
      <c r="E4732" s="33">
        <v>95406</v>
      </c>
      <c r="F4732" s="32">
        <v>3213</v>
      </c>
      <c r="G4732" s="32">
        <v>9167</v>
      </c>
      <c r="H4732" s="31">
        <v>533</v>
      </c>
    </row>
    <row r="4733" spans="1:8" ht="18" customHeight="1" x14ac:dyDescent="0.15">
      <c r="A4733" s="30" t="s">
        <v>94</v>
      </c>
      <c r="B4733" s="29" t="s">
        <v>93</v>
      </c>
      <c r="C4733" s="28">
        <v>39</v>
      </c>
      <c r="D4733" s="15">
        <v>118973</v>
      </c>
      <c r="E4733" s="15">
        <v>115556</v>
      </c>
      <c r="F4733" s="14">
        <v>3158</v>
      </c>
      <c r="G4733" s="14">
        <v>21</v>
      </c>
      <c r="H4733" s="13">
        <v>237</v>
      </c>
    </row>
    <row r="4734" spans="1:8" ht="13.5" x14ac:dyDescent="0.15">
      <c r="A4734" s="252" t="s">
        <v>92</v>
      </c>
      <c r="B4734" s="17" t="s">
        <v>91</v>
      </c>
      <c r="C4734" s="16">
        <v>2902</v>
      </c>
      <c r="D4734" s="27">
        <v>58237279</v>
      </c>
      <c r="E4734" s="27">
        <v>9053924</v>
      </c>
      <c r="F4734" s="26">
        <v>6644380</v>
      </c>
      <c r="G4734" s="26">
        <v>35722970</v>
      </c>
      <c r="H4734" s="25">
        <v>6816004</v>
      </c>
    </row>
    <row r="4735" spans="1:8" ht="18" customHeight="1" x14ac:dyDescent="0.15">
      <c r="A4735" s="250"/>
      <c r="B4735" s="23" t="s">
        <v>90</v>
      </c>
      <c r="C4735" s="22">
        <v>3222</v>
      </c>
      <c r="D4735" s="21">
        <v>15681064</v>
      </c>
      <c r="E4735" s="21">
        <v>716273</v>
      </c>
      <c r="F4735" s="20">
        <v>3038619</v>
      </c>
      <c r="G4735" s="20">
        <v>9880310</v>
      </c>
      <c r="H4735" s="19">
        <v>2045860</v>
      </c>
    </row>
    <row r="4736" spans="1:8" ht="18" customHeight="1" x14ac:dyDescent="0.15">
      <c r="A4736" s="250"/>
      <c r="B4736" s="24" t="s">
        <v>89</v>
      </c>
      <c r="C4736" s="22">
        <v>614</v>
      </c>
      <c r="D4736" s="21">
        <v>36649129</v>
      </c>
      <c r="E4736" s="21">
        <v>2093924</v>
      </c>
      <c r="F4736" s="20">
        <v>5384930</v>
      </c>
      <c r="G4736" s="20">
        <v>23299070</v>
      </c>
      <c r="H4736" s="19">
        <v>5871203</v>
      </c>
    </row>
    <row r="4737" spans="1:8" ht="18" customHeight="1" x14ac:dyDescent="0.15">
      <c r="A4737" s="250"/>
      <c r="B4737" s="23" t="s">
        <v>88</v>
      </c>
      <c r="C4737" s="22">
        <v>1322</v>
      </c>
      <c r="D4737" s="21">
        <v>41093700</v>
      </c>
      <c r="E4737" s="21">
        <v>3637429</v>
      </c>
      <c r="F4737" s="20">
        <v>6307390</v>
      </c>
      <c r="G4737" s="20">
        <v>27701745</v>
      </c>
      <c r="H4737" s="19">
        <v>3447135</v>
      </c>
    </row>
    <row r="4738" spans="1:8" ht="18" customHeight="1" x14ac:dyDescent="0.15">
      <c r="A4738" s="250"/>
      <c r="B4738" s="23" t="s">
        <v>87</v>
      </c>
      <c r="C4738" s="22">
        <v>125</v>
      </c>
      <c r="D4738" s="21">
        <v>4706249</v>
      </c>
      <c r="E4738" s="21">
        <v>49800</v>
      </c>
      <c r="F4738" s="20">
        <v>188354</v>
      </c>
      <c r="G4738" s="20">
        <v>4383204</v>
      </c>
      <c r="H4738" s="19">
        <v>84889</v>
      </c>
    </row>
    <row r="4739" spans="1:8" ht="18" customHeight="1" x14ac:dyDescent="0.15">
      <c r="A4739" s="250"/>
      <c r="B4739" s="23" t="s">
        <v>86</v>
      </c>
      <c r="C4739" s="22">
        <v>88</v>
      </c>
      <c r="D4739" s="21">
        <v>946600</v>
      </c>
      <c r="E4739" s="21">
        <v>196220</v>
      </c>
      <c r="F4739" s="20">
        <v>50150</v>
      </c>
      <c r="G4739" s="20">
        <v>492520</v>
      </c>
      <c r="H4739" s="19">
        <v>207710</v>
      </c>
    </row>
    <row r="4740" spans="1:8" ht="18" customHeight="1" x14ac:dyDescent="0.15">
      <c r="A4740" s="250"/>
      <c r="B4740" s="23" t="s">
        <v>85</v>
      </c>
      <c r="C4740" s="22">
        <v>38</v>
      </c>
      <c r="D4740" s="21">
        <v>326206</v>
      </c>
      <c r="E4740" s="21">
        <v>117410</v>
      </c>
      <c r="F4740" s="20">
        <v>25096</v>
      </c>
      <c r="G4740" s="20">
        <v>126408</v>
      </c>
      <c r="H4740" s="19">
        <v>57291</v>
      </c>
    </row>
    <row r="4741" spans="1:8" ht="18" customHeight="1" x14ac:dyDescent="0.15">
      <c r="A4741" s="250"/>
      <c r="B4741" s="23" t="s">
        <v>84</v>
      </c>
      <c r="C4741" s="22">
        <v>0</v>
      </c>
      <c r="D4741" s="21">
        <v>0</v>
      </c>
      <c r="E4741" s="21">
        <v>0</v>
      </c>
      <c r="F4741" s="20">
        <v>0</v>
      </c>
      <c r="G4741" s="20">
        <v>0</v>
      </c>
      <c r="H4741" s="19">
        <v>0</v>
      </c>
    </row>
    <row r="4742" spans="1:8" ht="18" customHeight="1" x14ac:dyDescent="0.15">
      <c r="A4742" s="250"/>
      <c r="B4742" s="23" t="s">
        <v>83</v>
      </c>
      <c r="C4742" s="22">
        <v>266</v>
      </c>
      <c r="D4742" s="21">
        <v>11537420</v>
      </c>
      <c r="E4742" s="21">
        <v>864130</v>
      </c>
      <c r="F4742" s="20">
        <v>3529940</v>
      </c>
      <c r="G4742" s="20">
        <v>3776390</v>
      </c>
      <c r="H4742" s="19">
        <v>3366960</v>
      </c>
    </row>
    <row r="4743" spans="1:8" ht="18" customHeight="1" x14ac:dyDescent="0.15">
      <c r="A4743" s="250"/>
      <c r="B4743" s="23" t="s">
        <v>82</v>
      </c>
      <c r="C4743" s="22">
        <v>2857</v>
      </c>
      <c r="D4743" s="21">
        <v>59554139</v>
      </c>
      <c r="E4743" s="21">
        <v>11018929</v>
      </c>
      <c r="F4743" s="20">
        <v>7822254</v>
      </c>
      <c r="G4743" s="20">
        <v>34353552</v>
      </c>
      <c r="H4743" s="19">
        <v>6359402</v>
      </c>
    </row>
    <row r="4744" spans="1:8" ht="18" customHeight="1" x14ac:dyDescent="0.15">
      <c r="A4744" s="250"/>
      <c r="B4744" s="23" t="s">
        <v>81</v>
      </c>
      <c r="C4744" s="22">
        <v>551</v>
      </c>
      <c r="D4744" s="21">
        <v>15486884</v>
      </c>
      <c r="E4744" s="21">
        <v>1870579</v>
      </c>
      <c r="F4744" s="20">
        <v>1476575</v>
      </c>
      <c r="G4744" s="20">
        <v>10985766</v>
      </c>
      <c r="H4744" s="19">
        <v>1153962</v>
      </c>
    </row>
    <row r="4745" spans="1:8" ht="18" customHeight="1" x14ac:dyDescent="0.15">
      <c r="A4745" s="250"/>
      <c r="B4745" s="23" t="s">
        <v>80</v>
      </c>
      <c r="C4745" s="22">
        <v>42426</v>
      </c>
      <c r="D4745" s="21">
        <v>10865020</v>
      </c>
      <c r="E4745" s="21">
        <v>296046</v>
      </c>
      <c r="F4745" s="20">
        <v>6400818</v>
      </c>
      <c r="G4745" s="20">
        <v>3969660</v>
      </c>
      <c r="H4745" s="19">
        <v>198495</v>
      </c>
    </row>
    <row r="4746" spans="1:8" ht="18" customHeight="1" x14ac:dyDescent="0.15">
      <c r="A4746" s="250"/>
      <c r="B4746" s="23" t="s">
        <v>79</v>
      </c>
      <c r="C4746" s="22">
        <v>120</v>
      </c>
      <c r="D4746" s="21">
        <v>1403145</v>
      </c>
      <c r="E4746" s="21">
        <v>10861</v>
      </c>
      <c r="F4746" s="20">
        <v>1075760</v>
      </c>
      <c r="G4746" s="20">
        <v>309724</v>
      </c>
      <c r="H4746" s="19">
        <v>6800</v>
      </c>
    </row>
    <row r="4747" spans="1:8" ht="18" customHeight="1" x14ac:dyDescent="0.15">
      <c r="A4747" s="250"/>
      <c r="B4747" s="23" t="s">
        <v>78</v>
      </c>
      <c r="C4747" s="22">
        <v>43</v>
      </c>
      <c r="D4747" s="21">
        <v>761800</v>
      </c>
      <c r="E4747" s="21">
        <v>122464</v>
      </c>
      <c r="F4747" s="20">
        <v>116900</v>
      </c>
      <c r="G4747" s="20">
        <v>427136</v>
      </c>
      <c r="H4747" s="19">
        <v>95300</v>
      </c>
    </row>
    <row r="4748" spans="1:8" ht="18" customHeight="1" x14ac:dyDescent="0.15">
      <c r="A4748" s="250"/>
      <c r="B4748" s="23" t="s">
        <v>77</v>
      </c>
      <c r="C4748" s="22">
        <v>438</v>
      </c>
      <c r="D4748" s="21">
        <v>2103125</v>
      </c>
      <c r="E4748" s="21">
        <v>342754</v>
      </c>
      <c r="F4748" s="20">
        <v>1023758</v>
      </c>
      <c r="G4748" s="20">
        <v>645356</v>
      </c>
      <c r="H4748" s="19">
        <v>91257</v>
      </c>
    </row>
    <row r="4749" spans="1:8" ht="18" customHeight="1" x14ac:dyDescent="0.15">
      <c r="A4749" s="250"/>
      <c r="B4749" s="23" t="s">
        <v>76</v>
      </c>
      <c r="C4749" s="22">
        <v>355</v>
      </c>
      <c r="D4749" s="21">
        <v>9492956</v>
      </c>
      <c r="E4749" s="21">
        <v>1028070</v>
      </c>
      <c r="F4749" s="20">
        <v>2003394</v>
      </c>
      <c r="G4749" s="20">
        <v>5794104</v>
      </c>
      <c r="H4749" s="19">
        <v>667387</v>
      </c>
    </row>
    <row r="4750" spans="1:8" ht="18" customHeight="1" x14ac:dyDescent="0.15">
      <c r="A4750" s="250"/>
      <c r="B4750" s="23" t="s">
        <v>75</v>
      </c>
      <c r="C4750" s="22">
        <v>41</v>
      </c>
      <c r="D4750" s="21">
        <v>1724200</v>
      </c>
      <c r="E4750" s="21">
        <v>115700</v>
      </c>
      <c r="F4750" s="20">
        <v>662700</v>
      </c>
      <c r="G4750" s="20">
        <v>815500</v>
      </c>
      <c r="H4750" s="19">
        <v>130300</v>
      </c>
    </row>
    <row r="4751" spans="1:8" ht="18" customHeight="1" x14ac:dyDescent="0.15">
      <c r="A4751" s="250"/>
      <c r="B4751" s="23" t="s">
        <v>74</v>
      </c>
      <c r="C4751" s="22">
        <v>0</v>
      </c>
      <c r="D4751" s="21">
        <v>0</v>
      </c>
      <c r="E4751" s="21">
        <v>0</v>
      </c>
      <c r="F4751" s="20">
        <v>0</v>
      </c>
      <c r="G4751" s="20">
        <v>0</v>
      </c>
      <c r="H4751" s="19">
        <v>0</v>
      </c>
    </row>
    <row r="4752" spans="1:8" ht="18" customHeight="1" x14ac:dyDescent="0.15">
      <c r="A4752" s="250"/>
      <c r="B4752" s="23" t="s">
        <v>73</v>
      </c>
      <c r="C4752" s="22">
        <v>16</v>
      </c>
      <c r="D4752" s="21">
        <v>500800</v>
      </c>
      <c r="E4752" s="21">
        <v>200</v>
      </c>
      <c r="F4752" s="20">
        <v>198800</v>
      </c>
      <c r="G4752" s="20">
        <v>299700</v>
      </c>
      <c r="H4752" s="19">
        <v>2100</v>
      </c>
    </row>
    <row r="4753" spans="1:8" ht="18" customHeight="1" x14ac:dyDescent="0.15">
      <c r="A4753" s="250"/>
      <c r="B4753" s="23" t="s">
        <v>72</v>
      </c>
      <c r="C4753" s="22">
        <v>1</v>
      </c>
      <c r="D4753" s="21">
        <v>3000</v>
      </c>
      <c r="E4753" s="21">
        <v>100</v>
      </c>
      <c r="F4753" s="20">
        <v>500</v>
      </c>
      <c r="G4753" s="20">
        <v>1000</v>
      </c>
      <c r="H4753" s="19">
        <v>1400</v>
      </c>
    </row>
    <row r="4754" spans="1:8" ht="18" customHeight="1" x14ac:dyDescent="0.15">
      <c r="A4754" s="251"/>
      <c r="B4754" s="23" t="s">
        <v>71</v>
      </c>
      <c r="C4754" s="22">
        <v>13</v>
      </c>
      <c r="D4754" s="21">
        <v>7205</v>
      </c>
      <c r="E4754" s="21">
        <v>905</v>
      </c>
      <c r="F4754" s="20">
        <v>0</v>
      </c>
      <c r="G4754" s="20">
        <v>5800</v>
      </c>
      <c r="H4754" s="19">
        <v>500</v>
      </c>
    </row>
    <row r="4755" spans="1:8" ht="18" customHeight="1" x14ac:dyDescent="0.15">
      <c r="A4755" s="18" t="s">
        <v>70</v>
      </c>
      <c r="B4755" s="17" t="s">
        <v>69</v>
      </c>
      <c r="C4755" s="16">
        <v>4097</v>
      </c>
      <c r="D4755" s="15">
        <v>16382562</v>
      </c>
      <c r="E4755" s="15">
        <v>1356780</v>
      </c>
      <c r="F4755" s="14">
        <v>5062351</v>
      </c>
      <c r="G4755" s="14">
        <v>7485611</v>
      </c>
      <c r="H4755" s="13">
        <v>2477820</v>
      </c>
    </row>
    <row r="4756" spans="1:8" ht="18" customHeight="1" x14ac:dyDescent="0.15">
      <c r="A4756" s="252" t="s">
        <v>68</v>
      </c>
      <c r="B4756" s="12" t="s">
        <v>67</v>
      </c>
      <c r="C4756" s="11">
        <v>5257</v>
      </c>
      <c r="D4756" s="10">
        <v>83152473</v>
      </c>
      <c r="E4756" s="10">
        <v>50924777</v>
      </c>
      <c r="F4756" s="9">
        <v>14750079</v>
      </c>
      <c r="G4756" s="9">
        <v>11357471</v>
      </c>
      <c r="H4756" s="8">
        <v>6120144</v>
      </c>
    </row>
    <row r="4757" spans="1:8" ht="18" customHeight="1" thickBot="1" x14ac:dyDescent="0.2">
      <c r="A4757" s="253"/>
      <c r="B4757" s="7" t="s">
        <v>66</v>
      </c>
      <c r="C4757" s="6">
        <v>3317</v>
      </c>
      <c r="D4757" s="5" t="s">
        <v>65</v>
      </c>
      <c r="E4757" s="5" t="s">
        <v>65</v>
      </c>
      <c r="F4757" s="5" t="s">
        <v>65</v>
      </c>
      <c r="G4757" s="5" t="s">
        <v>65</v>
      </c>
      <c r="H4757" s="4" t="s">
        <v>65</v>
      </c>
    </row>
    <row r="4758" spans="1:8" ht="18" customHeight="1" x14ac:dyDescent="0.15">
      <c r="A4758" s="3" t="s">
        <v>120</v>
      </c>
      <c r="B4758" s="2"/>
      <c r="C4758" s="2"/>
      <c r="D4758" s="2"/>
      <c r="E4758" s="2"/>
      <c r="F4758" s="2"/>
      <c r="G4758" s="2"/>
      <c r="H4758" s="2"/>
    </row>
    <row r="4759" spans="1:8" ht="18" customHeight="1" x14ac:dyDescent="0.15">
      <c r="A4759" s="230" t="s">
        <v>119</v>
      </c>
      <c r="B4759" s="230"/>
      <c r="C4759" s="230"/>
      <c r="D4759" s="230"/>
      <c r="E4759" s="230"/>
      <c r="F4759" s="230"/>
      <c r="G4759" s="230"/>
      <c r="H4759" s="230"/>
    </row>
    <row r="4760" spans="1:8" ht="18" customHeight="1" x14ac:dyDescent="0.15">
      <c r="A4760" s="231"/>
      <c r="B4760" s="231"/>
      <c r="C4760" s="231"/>
      <c r="D4760" s="231"/>
      <c r="E4760" s="231"/>
      <c r="F4760" s="231"/>
      <c r="G4760" s="231"/>
      <c r="H4760" s="231"/>
    </row>
    <row r="4761" spans="1:8" ht="18" customHeight="1" thickBot="1" x14ac:dyDescent="0.2">
      <c r="A4761" s="58" t="s">
        <v>62</v>
      </c>
    </row>
    <row r="4762" spans="1:8" ht="18" customHeight="1" x14ac:dyDescent="0.15">
      <c r="A4762" s="232" t="s">
        <v>61</v>
      </c>
      <c r="B4762" s="235" t="s">
        <v>110</v>
      </c>
      <c r="C4762" s="238" t="s">
        <v>109</v>
      </c>
      <c r="D4762" s="241" t="s">
        <v>108</v>
      </c>
      <c r="E4762" s="57"/>
      <c r="F4762" s="56"/>
      <c r="G4762" s="56"/>
      <c r="H4762" s="55"/>
    </row>
    <row r="4763" spans="1:8" ht="18" customHeight="1" x14ac:dyDescent="0.15">
      <c r="A4763" s="233"/>
      <c r="B4763" s="236"/>
      <c r="C4763" s="239"/>
      <c r="D4763" s="242"/>
      <c r="E4763" s="244" t="s">
        <v>107</v>
      </c>
      <c r="F4763" s="254" t="s">
        <v>106</v>
      </c>
      <c r="G4763" s="254" t="s">
        <v>105</v>
      </c>
      <c r="H4763" s="256" t="s">
        <v>104</v>
      </c>
    </row>
    <row r="4764" spans="1:8" ht="18" customHeight="1" thickBot="1" x14ac:dyDescent="0.2">
      <c r="A4764" s="234"/>
      <c r="B4764" s="237"/>
      <c r="C4764" s="240"/>
      <c r="D4764" s="243"/>
      <c r="E4764" s="245"/>
      <c r="F4764" s="255"/>
      <c r="G4764" s="255"/>
      <c r="H4764" s="257"/>
    </row>
    <row r="4765" spans="1:8" ht="18" customHeight="1" thickTop="1" x14ac:dyDescent="0.15">
      <c r="A4765" s="54"/>
      <c r="B4765" s="53"/>
      <c r="C4765" s="52"/>
      <c r="D4765" s="51" t="s">
        <v>103</v>
      </c>
      <c r="E4765" s="50" t="s">
        <v>103</v>
      </c>
      <c r="F4765" s="49" t="s">
        <v>103</v>
      </c>
      <c r="G4765" s="49" t="s">
        <v>103</v>
      </c>
      <c r="H4765" s="48" t="s">
        <v>103</v>
      </c>
    </row>
    <row r="4766" spans="1:8" ht="18" customHeight="1" x14ac:dyDescent="0.15">
      <c r="A4766" s="250" t="s">
        <v>102</v>
      </c>
      <c r="B4766" s="47" t="s">
        <v>101</v>
      </c>
      <c r="C4766" s="46">
        <v>3564</v>
      </c>
      <c r="D4766" s="45">
        <v>502876968</v>
      </c>
      <c r="E4766" s="45">
        <v>192294476</v>
      </c>
      <c r="F4766" s="44">
        <v>156111729</v>
      </c>
      <c r="G4766" s="44">
        <v>147813425</v>
      </c>
      <c r="H4766" s="43">
        <v>6657336</v>
      </c>
    </row>
    <row r="4767" spans="1:8" ht="18" customHeight="1" x14ac:dyDescent="0.15">
      <c r="A4767" s="250"/>
      <c r="B4767" s="41" t="s">
        <v>100</v>
      </c>
      <c r="C4767" s="39">
        <v>22</v>
      </c>
      <c r="D4767" s="38">
        <v>152439</v>
      </c>
      <c r="E4767" s="38">
        <v>67932</v>
      </c>
      <c r="F4767" s="37">
        <v>62733</v>
      </c>
      <c r="G4767" s="37">
        <v>21773</v>
      </c>
      <c r="H4767" s="36">
        <v>0</v>
      </c>
    </row>
    <row r="4768" spans="1:8" ht="18" customHeight="1" x14ac:dyDescent="0.15">
      <c r="A4768" s="250"/>
      <c r="B4768" s="41" t="s">
        <v>99</v>
      </c>
      <c r="C4768" s="39">
        <v>17</v>
      </c>
      <c r="D4768" s="38">
        <v>0</v>
      </c>
      <c r="E4768" s="38">
        <v>0</v>
      </c>
      <c r="F4768" s="37">
        <v>0</v>
      </c>
      <c r="G4768" s="37">
        <v>0</v>
      </c>
      <c r="H4768" s="36">
        <v>0</v>
      </c>
    </row>
    <row r="4769" spans="1:8" ht="18" customHeight="1" x14ac:dyDescent="0.15">
      <c r="A4769" s="250"/>
      <c r="B4769" s="42" t="s">
        <v>98</v>
      </c>
      <c r="C4769" s="34">
        <v>1</v>
      </c>
      <c r="D4769" s="33">
        <v>146177</v>
      </c>
      <c r="E4769" s="33">
        <v>112496</v>
      </c>
      <c r="F4769" s="32">
        <v>5498</v>
      </c>
      <c r="G4769" s="32">
        <v>25938</v>
      </c>
      <c r="H4769" s="31">
        <v>2243</v>
      </c>
    </row>
    <row r="4770" spans="1:8" ht="18" customHeight="1" x14ac:dyDescent="0.15">
      <c r="A4770" s="250"/>
      <c r="B4770" s="41" t="s">
        <v>97</v>
      </c>
      <c r="C4770" s="39">
        <v>48</v>
      </c>
      <c r="D4770" s="38">
        <v>9347572</v>
      </c>
      <c r="E4770" s="38">
        <v>2733872</v>
      </c>
      <c r="F4770" s="37">
        <v>2215643</v>
      </c>
      <c r="G4770" s="37">
        <v>4380195</v>
      </c>
      <c r="H4770" s="36">
        <v>17861</v>
      </c>
    </row>
    <row r="4771" spans="1:8" ht="18" customHeight="1" x14ac:dyDescent="0.15">
      <c r="A4771" s="250"/>
      <c r="B4771" s="40" t="s">
        <v>96</v>
      </c>
      <c r="C4771" s="39">
        <v>121</v>
      </c>
      <c r="D4771" s="38">
        <v>9953220</v>
      </c>
      <c r="E4771" s="38">
        <v>2625480</v>
      </c>
      <c r="F4771" s="37">
        <v>1023048</v>
      </c>
      <c r="G4771" s="37">
        <v>6271577</v>
      </c>
      <c r="H4771" s="36">
        <v>33113</v>
      </c>
    </row>
    <row r="4772" spans="1:8" ht="18" customHeight="1" x14ac:dyDescent="0.15">
      <c r="A4772" s="251"/>
      <c r="B4772" s="35" t="s">
        <v>95</v>
      </c>
      <c r="C4772" s="34">
        <v>36</v>
      </c>
      <c r="D4772" s="33">
        <v>75925</v>
      </c>
      <c r="E4772" s="33">
        <v>64955</v>
      </c>
      <c r="F4772" s="32">
        <v>1792</v>
      </c>
      <c r="G4772" s="32">
        <v>8697</v>
      </c>
      <c r="H4772" s="31">
        <v>480</v>
      </c>
    </row>
    <row r="4773" spans="1:8" ht="18" customHeight="1" x14ac:dyDescent="0.15">
      <c r="A4773" s="30" t="s">
        <v>94</v>
      </c>
      <c r="B4773" s="29" t="s">
        <v>93</v>
      </c>
      <c r="C4773" s="28">
        <v>39</v>
      </c>
      <c r="D4773" s="15">
        <v>114750</v>
      </c>
      <c r="E4773" s="15">
        <v>111578</v>
      </c>
      <c r="F4773" s="14">
        <v>2948</v>
      </c>
      <c r="G4773" s="14">
        <v>3</v>
      </c>
      <c r="H4773" s="13">
        <v>219</v>
      </c>
    </row>
    <row r="4774" spans="1:8" ht="13.5" x14ac:dyDescent="0.15">
      <c r="A4774" s="252" t="s">
        <v>92</v>
      </c>
      <c r="B4774" s="17" t="s">
        <v>91</v>
      </c>
      <c r="C4774" s="16">
        <v>2883</v>
      </c>
      <c r="D4774" s="27">
        <v>57958641</v>
      </c>
      <c r="E4774" s="27">
        <v>9035936</v>
      </c>
      <c r="F4774" s="26">
        <v>6568121</v>
      </c>
      <c r="G4774" s="26">
        <v>35644644</v>
      </c>
      <c r="H4774" s="25">
        <v>6709938</v>
      </c>
    </row>
    <row r="4775" spans="1:8" ht="18" customHeight="1" x14ac:dyDescent="0.15">
      <c r="A4775" s="250"/>
      <c r="B4775" s="23" t="s">
        <v>90</v>
      </c>
      <c r="C4775" s="22">
        <v>3216</v>
      </c>
      <c r="D4775" s="21">
        <v>15675708</v>
      </c>
      <c r="E4775" s="21">
        <v>720649</v>
      </c>
      <c r="F4775" s="20">
        <v>3043880</v>
      </c>
      <c r="G4775" s="20">
        <v>9874017</v>
      </c>
      <c r="H4775" s="19">
        <v>2037161</v>
      </c>
    </row>
    <row r="4776" spans="1:8" ht="18" customHeight="1" x14ac:dyDescent="0.15">
      <c r="A4776" s="250"/>
      <c r="B4776" s="24" t="s">
        <v>89</v>
      </c>
      <c r="C4776" s="22">
        <v>613</v>
      </c>
      <c r="D4776" s="21">
        <v>36639079</v>
      </c>
      <c r="E4776" s="21">
        <v>2101687</v>
      </c>
      <c r="F4776" s="20">
        <v>5422061</v>
      </c>
      <c r="G4776" s="20">
        <v>23413357</v>
      </c>
      <c r="H4776" s="19">
        <v>5701972</v>
      </c>
    </row>
    <row r="4777" spans="1:8" ht="18" customHeight="1" x14ac:dyDescent="0.15">
      <c r="A4777" s="250"/>
      <c r="B4777" s="23" t="s">
        <v>88</v>
      </c>
      <c r="C4777" s="22">
        <v>1308</v>
      </c>
      <c r="D4777" s="21">
        <v>40774700</v>
      </c>
      <c r="E4777" s="21">
        <v>3601994</v>
      </c>
      <c r="F4777" s="20">
        <v>6251170</v>
      </c>
      <c r="G4777" s="20">
        <v>27538200</v>
      </c>
      <c r="H4777" s="19">
        <v>3383335</v>
      </c>
    </row>
    <row r="4778" spans="1:8" ht="18" customHeight="1" x14ac:dyDescent="0.15">
      <c r="A4778" s="250"/>
      <c r="B4778" s="23" t="s">
        <v>87</v>
      </c>
      <c r="C4778" s="22">
        <v>124</v>
      </c>
      <c r="D4778" s="21">
        <v>4681249</v>
      </c>
      <c r="E4778" s="21">
        <v>52385</v>
      </c>
      <c r="F4778" s="20">
        <v>188306</v>
      </c>
      <c r="G4778" s="20">
        <v>4355268</v>
      </c>
      <c r="H4778" s="19">
        <v>85289</v>
      </c>
    </row>
    <row r="4779" spans="1:8" ht="18" customHeight="1" x14ac:dyDescent="0.15">
      <c r="A4779" s="250"/>
      <c r="B4779" s="23" t="s">
        <v>86</v>
      </c>
      <c r="C4779" s="22">
        <v>87</v>
      </c>
      <c r="D4779" s="21">
        <v>936600</v>
      </c>
      <c r="E4779" s="21">
        <v>193220</v>
      </c>
      <c r="F4779" s="20">
        <v>50250</v>
      </c>
      <c r="G4779" s="20">
        <v>486720</v>
      </c>
      <c r="H4779" s="19">
        <v>206410</v>
      </c>
    </row>
    <row r="4780" spans="1:8" ht="18" customHeight="1" x14ac:dyDescent="0.15">
      <c r="A4780" s="250"/>
      <c r="B4780" s="23" t="s">
        <v>85</v>
      </c>
      <c r="C4780" s="22">
        <v>38</v>
      </c>
      <c r="D4780" s="21">
        <v>326206</v>
      </c>
      <c r="E4780" s="21">
        <v>117770</v>
      </c>
      <c r="F4780" s="20">
        <v>24266</v>
      </c>
      <c r="G4780" s="20">
        <v>126878</v>
      </c>
      <c r="H4780" s="19">
        <v>57291</v>
      </c>
    </row>
    <row r="4781" spans="1:8" ht="18" customHeight="1" x14ac:dyDescent="0.15">
      <c r="A4781" s="250"/>
      <c r="B4781" s="23" t="s">
        <v>84</v>
      </c>
      <c r="C4781" s="22">
        <v>0</v>
      </c>
      <c r="D4781" s="21">
        <v>0</v>
      </c>
      <c r="E4781" s="21">
        <v>0</v>
      </c>
      <c r="F4781" s="20">
        <v>0</v>
      </c>
      <c r="G4781" s="20">
        <v>0</v>
      </c>
      <c r="H4781" s="19">
        <v>0</v>
      </c>
    </row>
    <row r="4782" spans="1:8" ht="18" customHeight="1" x14ac:dyDescent="0.15">
      <c r="A4782" s="250"/>
      <c r="B4782" s="23" t="s">
        <v>83</v>
      </c>
      <c r="C4782" s="22">
        <v>266</v>
      </c>
      <c r="D4782" s="21">
        <v>11583330</v>
      </c>
      <c r="E4782" s="21">
        <v>875410</v>
      </c>
      <c r="F4782" s="20">
        <v>3580930</v>
      </c>
      <c r="G4782" s="20">
        <v>3754290</v>
      </c>
      <c r="H4782" s="19">
        <v>3372700</v>
      </c>
    </row>
    <row r="4783" spans="1:8" ht="18" customHeight="1" x14ac:dyDescent="0.15">
      <c r="A4783" s="250"/>
      <c r="B4783" s="23" t="s">
        <v>82</v>
      </c>
      <c r="C4783" s="22">
        <v>2865</v>
      </c>
      <c r="D4783" s="21">
        <v>59704184</v>
      </c>
      <c r="E4783" s="21">
        <v>11088433</v>
      </c>
      <c r="F4783" s="20">
        <v>7837705</v>
      </c>
      <c r="G4783" s="20">
        <v>34382340</v>
      </c>
      <c r="H4783" s="19">
        <v>6395705</v>
      </c>
    </row>
    <row r="4784" spans="1:8" ht="18" customHeight="1" x14ac:dyDescent="0.15">
      <c r="A4784" s="250"/>
      <c r="B4784" s="23" t="s">
        <v>81</v>
      </c>
      <c r="C4784" s="22">
        <v>552</v>
      </c>
      <c r="D4784" s="21">
        <v>15544384</v>
      </c>
      <c r="E4784" s="21">
        <v>1906439</v>
      </c>
      <c r="F4784" s="20">
        <v>1488107</v>
      </c>
      <c r="G4784" s="20">
        <v>10998424</v>
      </c>
      <c r="H4784" s="19">
        <v>1151412</v>
      </c>
    </row>
    <row r="4785" spans="1:8" ht="18" customHeight="1" x14ac:dyDescent="0.15">
      <c r="A4785" s="250"/>
      <c r="B4785" s="23" t="s">
        <v>80</v>
      </c>
      <c r="C4785" s="22">
        <v>42468</v>
      </c>
      <c r="D4785" s="21">
        <v>10860866</v>
      </c>
      <c r="E4785" s="21">
        <v>282046</v>
      </c>
      <c r="F4785" s="20">
        <v>6424587</v>
      </c>
      <c r="G4785" s="20">
        <v>3959087</v>
      </c>
      <c r="H4785" s="19">
        <v>195145</v>
      </c>
    </row>
    <row r="4786" spans="1:8" ht="18" customHeight="1" x14ac:dyDescent="0.15">
      <c r="A4786" s="250"/>
      <c r="B4786" s="23" t="s">
        <v>79</v>
      </c>
      <c r="C4786" s="22">
        <v>120</v>
      </c>
      <c r="D4786" s="21">
        <v>1392245</v>
      </c>
      <c r="E4786" s="21">
        <v>10861</v>
      </c>
      <c r="F4786" s="20">
        <v>1075760</v>
      </c>
      <c r="G4786" s="20">
        <v>298824</v>
      </c>
      <c r="H4786" s="19">
        <v>6800</v>
      </c>
    </row>
    <row r="4787" spans="1:8" ht="18" customHeight="1" x14ac:dyDescent="0.15">
      <c r="A4787" s="250"/>
      <c r="B4787" s="23" t="s">
        <v>78</v>
      </c>
      <c r="C4787" s="22">
        <v>44</v>
      </c>
      <c r="D4787" s="21">
        <v>767800</v>
      </c>
      <c r="E4787" s="21">
        <v>123833</v>
      </c>
      <c r="F4787" s="20">
        <v>116600</v>
      </c>
      <c r="G4787" s="20">
        <v>430167</v>
      </c>
      <c r="H4787" s="19">
        <v>97200</v>
      </c>
    </row>
    <row r="4788" spans="1:8" ht="18" customHeight="1" x14ac:dyDescent="0.15">
      <c r="A4788" s="250"/>
      <c r="B4788" s="23" t="s">
        <v>77</v>
      </c>
      <c r="C4788" s="22">
        <v>440</v>
      </c>
      <c r="D4788" s="21">
        <v>2068610</v>
      </c>
      <c r="E4788" s="21">
        <v>343319</v>
      </c>
      <c r="F4788" s="20">
        <v>1026631</v>
      </c>
      <c r="G4788" s="20">
        <v>624068</v>
      </c>
      <c r="H4788" s="19">
        <v>74592</v>
      </c>
    </row>
    <row r="4789" spans="1:8" ht="18" customHeight="1" x14ac:dyDescent="0.15">
      <c r="A4789" s="250"/>
      <c r="B4789" s="23" t="s">
        <v>76</v>
      </c>
      <c r="C4789" s="22">
        <v>351</v>
      </c>
      <c r="D4789" s="21">
        <v>9219556</v>
      </c>
      <c r="E4789" s="21">
        <v>1030670</v>
      </c>
      <c r="F4789" s="20">
        <v>1947994</v>
      </c>
      <c r="G4789" s="20">
        <v>5594604</v>
      </c>
      <c r="H4789" s="19">
        <v>646287</v>
      </c>
    </row>
    <row r="4790" spans="1:8" ht="18" customHeight="1" x14ac:dyDescent="0.15">
      <c r="A4790" s="250"/>
      <c r="B4790" s="23" t="s">
        <v>75</v>
      </c>
      <c r="C4790" s="22">
        <v>43</v>
      </c>
      <c r="D4790" s="21">
        <v>1729800</v>
      </c>
      <c r="E4790" s="21">
        <v>115000</v>
      </c>
      <c r="F4790" s="20">
        <v>674400</v>
      </c>
      <c r="G4790" s="20">
        <v>816800</v>
      </c>
      <c r="H4790" s="19">
        <v>123600</v>
      </c>
    </row>
    <row r="4791" spans="1:8" ht="18" customHeight="1" x14ac:dyDescent="0.15">
      <c r="A4791" s="250"/>
      <c r="B4791" s="23" t="s">
        <v>74</v>
      </c>
      <c r="C4791" s="22">
        <v>0</v>
      </c>
      <c r="D4791" s="21">
        <v>0</v>
      </c>
      <c r="E4791" s="21">
        <v>0</v>
      </c>
      <c r="F4791" s="20">
        <v>0</v>
      </c>
      <c r="G4791" s="20">
        <v>0</v>
      </c>
      <c r="H4791" s="19">
        <v>0</v>
      </c>
    </row>
    <row r="4792" spans="1:8" ht="18" customHeight="1" x14ac:dyDescent="0.15">
      <c r="A4792" s="250"/>
      <c r="B4792" s="23" t="s">
        <v>73</v>
      </c>
      <c r="C4792" s="22">
        <v>16</v>
      </c>
      <c r="D4792" s="21">
        <v>500800</v>
      </c>
      <c r="E4792" s="21">
        <v>200</v>
      </c>
      <c r="F4792" s="20">
        <v>198800</v>
      </c>
      <c r="G4792" s="20">
        <v>299700</v>
      </c>
      <c r="H4792" s="19">
        <v>2100</v>
      </c>
    </row>
    <row r="4793" spans="1:8" ht="18" customHeight="1" x14ac:dyDescent="0.15">
      <c r="A4793" s="250"/>
      <c r="B4793" s="23" t="s">
        <v>72</v>
      </c>
      <c r="C4793" s="22">
        <v>1</v>
      </c>
      <c r="D4793" s="21">
        <v>3000</v>
      </c>
      <c r="E4793" s="21">
        <v>100</v>
      </c>
      <c r="F4793" s="20">
        <v>500</v>
      </c>
      <c r="G4793" s="20">
        <v>1000</v>
      </c>
      <c r="H4793" s="19">
        <v>1400</v>
      </c>
    </row>
    <row r="4794" spans="1:8" ht="18" customHeight="1" x14ac:dyDescent="0.15">
      <c r="A4794" s="251"/>
      <c r="B4794" s="23" t="s">
        <v>71</v>
      </c>
      <c r="C4794" s="22">
        <v>13</v>
      </c>
      <c r="D4794" s="21">
        <v>7075</v>
      </c>
      <c r="E4794" s="21">
        <v>905</v>
      </c>
      <c r="F4794" s="20">
        <v>0</v>
      </c>
      <c r="G4794" s="20">
        <v>5670</v>
      </c>
      <c r="H4794" s="19">
        <v>500</v>
      </c>
    </row>
    <row r="4795" spans="1:8" ht="18" customHeight="1" x14ac:dyDescent="0.15">
      <c r="A4795" s="18" t="s">
        <v>70</v>
      </c>
      <c r="B4795" s="17" t="s">
        <v>69</v>
      </c>
      <c r="C4795" s="16">
        <v>3909</v>
      </c>
      <c r="D4795" s="15">
        <v>15155267</v>
      </c>
      <c r="E4795" s="15">
        <v>1416990</v>
      </c>
      <c r="F4795" s="14">
        <v>4610364</v>
      </c>
      <c r="G4795" s="14">
        <v>6575613</v>
      </c>
      <c r="H4795" s="13">
        <v>2552300</v>
      </c>
    </row>
    <row r="4796" spans="1:8" ht="18" customHeight="1" x14ac:dyDescent="0.15">
      <c r="A4796" s="252" t="s">
        <v>68</v>
      </c>
      <c r="B4796" s="12" t="s">
        <v>67</v>
      </c>
      <c r="C4796" s="11">
        <v>5222</v>
      </c>
      <c r="D4796" s="10">
        <v>78343825</v>
      </c>
      <c r="E4796" s="10">
        <v>47064324</v>
      </c>
      <c r="F4796" s="9">
        <v>14391852</v>
      </c>
      <c r="G4796" s="9">
        <v>11039198</v>
      </c>
      <c r="H4796" s="8">
        <v>5848450</v>
      </c>
    </row>
    <row r="4797" spans="1:8" ht="18" customHeight="1" thickBot="1" x14ac:dyDescent="0.2">
      <c r="A4797" s="253"/>
      <c r="B4797" s="7" t="s">
        <v>66</v>
      </c>
      <c r="C4797" s="6">
        <v>3263</v>
      </c>
      <c r="D4797" s="5" t="s">
        <v>54</v>
      </c>
      <c r="E4797" s="5" t="s">
        <v>54</v>
      </c>
      <c r="F4797" s="5" t="s">
        <v>54</v>
      </c>
      <c r="G4797" s="5" t="s">
        <v>54</v>
      </c>
      <c r="H4797" s="4" t="s">
        <v>54</v>
      </c>
    </row>
    <row r="4798" spans="1:8" ht="18" customHeight="1" x14ac:dyDescent="0.15">
      <c r="A4798" s="3" t="s">
        <v>118</v>
      </c>
      <c r="B4798" s="2"/>
      <c r="C4798" s="2"/>
      <c r="D4798" s="2"/>
      <c r="E4798" s="2"/>
      <c r="F4798" s="2"/>
      <c r="G4798" s="2"/>
      <c r="H4798" s="2"/>
    </row>
    <row r="4799" spans="1:8" ht="18" customHeight="1" x14ac:dyDescent="0.15">
      <c r="A4799" s="230" t="s">
        <v>117</v>
      </c>
      <c r="B4799" s="230"/>
      <c r="C4799" s="230"/>
      <c r="D4799" s="230"/>
      <c r="E4799" s="230"/>
      <c r="F4799" s="230"/>
      <c r="G4799" s="230"/>
      <c r="H4799" s="230"/>
    </row>
    <row r="4800" spans="1:8" ht="18" customHeight="1" x14ac:dyDescent="0.15">
      <c r="A4800" s="231"/>
      <c r="B4800" s="231"/>
      <c r="C4800" s="231"/>
      <c r="D4800" s="231"/>
      <c r="E4800" s="231"/>
      <c r="F4800" s="231"/>
      <c r="G4800" s="231"/>
      <c r="H4800" s="231"/>
    </row>
    <row r="4801" spans="1:8" ht="18" customHeight="1" thickBot="1" x14ac:dyDescent="0.2">
      <c r="A4801" s="58" t="s">
        <v>62</v>
      </c>
    </row>
    <row r="4802" spans="1:8" ht="18" customHeight="1" x14ac:dyDescent="0.15">
      <c r="A4802" s="232" t="s">
        <v>61</v>
      </c>
      <c r="B4802" s="235" t="s">
        <v>110</v>
      </c>
      <c r="C4802" s="238" t="s">
        <v>109</v>
      </c>
      <c r="D4802" s="241" t="s">
        <v>108</v>
      </c>
      <c r="E4802" s="57"/>
      <c r="F4802" s="56"/>
      <c r="G4802" s="56"/>
      <c r="H4802" s="55"/>
    </row>
    <row r="4803" spans="1:8" ht="18" customHeight="1" x14ac:dyDescent="0.15">
      <c r="A4803" s="233"/>
      <c r="B4803" s="236"/>
      <c r="C4803" s="239"/>
      <c r="D4803" s="242"/>
      <c r="E4803" s="244" t="s">
        <v>107</v>
      </c>
      <c r="F4803" s="254" t="s">
        <v>106</v>
      </c>
      <c r="G4803" s="254" t="s">
        <v>105</v>
      </c>
      <c r="H4803" s="256" t="s">
        <v>104</v>
      </c>
    </row>
    <row r="4804" spans="1:8" ht="18" customHeight="1" thickBot="1" x14ac:dyDescent="0.2">
      <c r="A4804" s="234"/>
      <c r="B4804" s="237"/>
      <c r="C4804" s="240"/>
      <c r="D4804" s="243"/>
      <c r="E4804" s="245"/>
      <c r="F4804" s="255"/>
      <c r="G4804" s="255"/>
      <c r="H4804" s="257"/>
    </row>
    <row r="4805" spans="1:8" ht="18" customHeight="1" thickTop="1" x14ac:dyDescent="0.15">
      <c r="A4805" s="54"/>
      <c r="B4805" s="53"/>
      <c r="C4805" s="52"/>
      <c r="D4805" s="51" t="s">
        <v>103</v>
      </c>
      <c r="E4805" s="50" t="s">
        <v>103</v>
      </c>
      <c r="F4805" s="49" t="s">
        <v>103</v>
      </c>
      <c r="G4805" s="49" t="s">
        <v>103</v>
      </c>
      <c r="H4805" s="48" t="s">
        <v>103</v>
      </c>
    </row>
    <row r="4806" spans="1:8" ht="18" customHeight="1" x14ac:dyDescent="0.15">
      <c r="A4806" s="250" t="s">
        <v>102</v>
      </c>
      <c r="B4806" s="47" t="s">
        <v>101</v>
      </c>
      <c r="C4806" s="46">
        <v>3564</v>
      </c>
      <c r="D4806" s="45">
        <v>499907139</v>
      </c>
      <c r="E4806" s="45">
        <v>195133378</v>
      </c>
      <c r="F4806" s="44">
        <v>151197942</v>
      </c>
      <c r="G4806" s="44">
        <v>146310224</v>
      </c>
      <c r="H4806" s="43">
        <v>7265593</v>
      </c>
    </row>
    <row r="4807" spans="1:8" ht="18" customHeight="1" x14ac:dyDescent="0.15">
      <c r="A4807" s="250"/>
      <c r="B4807" s="41" t="s">
        <v>100</v>
      </c>
      <c r="C4807" s="39">
        <v>21</v>
      </c>
      <c r="D4807" s="38">
        <v>152894</v>
      </c>
      <c r="E4807" s="38">
        <v>69330</v>
      </c>
      <c r="F4807" s="37">
        <v>63603</v>
      </c>
      <c r="G4807" s="37">
        <v>19960</v>
      </c>
      <c r="H4807" s="36">
        <v>0</v>
      </c>
    </row>
    <row r="4808" spans="1:8" ht="18" customHeight="1" x14ac:dyDescent="0.15">
      <c r="A4808" s="250"/>
      <c r="B4808" s="41" t="s">
        <v>99</v>
      </c>
      <c r="C4808" s="39">
        <v>19</v>
      </c>
      <c r="D4808" s="38">
        <v>798</v>
      </c>
      <c r="E4808" s="38">
        <v>796</v>
      </c>
      <c r="F4808" s="59">
        <v>0</v>
      </c>
      <c r="G4808" s="37">
        <v>1</v>
      </c>
      <c r="H4808" s="36">
        <v>0</v>
      </c>
    </row>
    <row r="4809" spans="1:8" ht="18" customHeight="1" x14ac:dyDescent="0.15">
      <c r="A4809" s="250"/>
      <c r="B4809" s="42" t="s">
        <v>98</v>
      </c>
      <c r="C4809" s="34">
        <v>1</v>
      </c>
      <c r="D4809" s="33">
        <v>147380</v>
      </c>
      <c r="E4809" s="33">
        <v>113510</v>
      </c>
      <c r="F4809" s="32">
        <v>5464</v>
      </c>
      <c r="G4809" s="32">
        <v>26151</v>
      </c>
      <c r="H4809" s="31">
        <v>2254</v>
      </c>
    </row>
    <row r="4810" spans="1:8" ht="18" customHeight="1" x14ac:dyDescent="0.15">
      <c r="A4810" s="250"/>
      <c r="B4810" s="41" t="s">
        <v>97</v>
      </c>
      <c r="C4810" s="39">
        <v>48</v>
      </c>
      <c r="D4810" s="38">
        <v>9084991</v>
      </c>
      <c r="E4810" s="38">
        <v>2695258</v>
      </c>
      <c r="F4810" s="37">
        <v>2165174</v>
      </c>
      <c r="G4810" s="37">
        <v>4205711</v>
      </c>
      <c r="H4810" s="36">
        <v>18846</v>
      </c>
    </row>
    <row r="4811" spans="1:8" ht="18" customHeight="1" x14ac:dyDescent="0.15">
      <c r="A4811" s="250"/>
      <c r="B4811" s="40" t="s">
        <v>96</v>
      </c>
      <c r="C4811" s="39">
        <v>121</v>
      </c>
      <c r="D4811" s="38">
        <v>9818214</v>
      </c>
      <c r="E4811" s="38">
        <v>2597439</v>
      </c>
      <c r="F4811" s="37">
        <v>1153905</v>
      </c>
      <c r="G4811" s="37">
        <v>5982148</v>
      </c>
      <c r="H4811" s="36">
        <v>84721</v>
      </c>
    </row>
    <row r="4812" spans="1:8" ht="18" customHeight="1" x14ac:dyDescent="0.15">
      <c r="A4812" s="251"/>
      <c r="B4812" s="35" t="s">
        <v>95</v>
      </c>
      <c r="C4812" s="34">
        <v>36</v>
      </c>
      <c r="D4812" s="33">
        <v>69243</v>
      </c>
      <c r="E4812" s="33">
        <v>58141</v>
      </c>
      <c r="F4812" s="32">
        <v>2238</v>
      </c>
      <c r="G4812" s="32">
        <v>8438</v>
      </c>
      <c r="H4812" s="31">
        <v>425</v>
      </c>
    </row>
    <row r="4813" spans="1:8" ht="18" customHeight="1" x14ac:dyDescent="0.15">
      <c r="A4813" s="30" t="s">
        <v>94</v>
      </c>
      <c r="B4813" s="29" t="s">
        <v>93</v>
      </c>
      <c r="C4813" s="28">
        <v>39</v>
      </c>
      <c r="D4813" s="15">
        <v>109912</v>
      </c>
      <c r="E4813" s="15">
        <v>106828</v>
      </c>
      <c r="F4813" s="14">
        <v>2916</v>
      </c>
      <c r="G4813" s="14">
        <v>0</v>
      </c>
      <c r="H4813" s="13">
        <v>167</v>
      </c>
    </row>
    <row r="4814" spans="1:8" ht="18" customHeight="1" x14ac:dyDescent="0.15">
      <c r="A4814" s="252" t="s">
        <v>92</v>
      </c>
      <c r="B4814" s="17" t="s">
        <v>91</v>
      </c>
      <c r="C4814" s="16">
        <v>2867</v>
      </c>
      <c r="D4814" s="27">
        <v>57769373</v>
      </c>
      <c r="E4814" s="27">
        <v>8988055</v>
      </c>
      <c r="F4814" s="26">
        <v>6559646</v>
      </c>
      <c r="G4814" s="26">
        <v>35591259</v>
      </c>
      <c r="H4814" s="25">
        <v>6630412</v>
      </c>
    </row>
    <row r="4815" spans="1:8" ht="18" customHeight="1" x14ac:dyDescent="0.15">
      <c r="A4815" s="250"/>
      <c r="B4815" s="23" t="s">
        <v>90</v>
      </c>
      <c r="C4815" s="22">
        <v>3208</v>
      </c>
      <c r="D4815" s="21">
        <v>15698602</v>
      </c>
      <c r="E4815" s="21">
        <v>714497</v>
      </c>
      <c r="F4815" s="20">
        <v>3094155</v>
      </c>
      <c r="G4815" s="20">
        <v>9856911</v>
      </c>
      <c r="H4815" s="19">
        <v>2033037</v>
      </c>
    </row>
    <row r="4816" spans="1:8" ht="18" customHeight="1" x14ac:dyDescent="0.15">
      <c r="A4816" s="250"/>
      <c r="B4816" s="24" t="s">
        <v>89</v>
      </c>
      <c r="C4816" s="22">
        <v>612</v>
      </c>
      <c r="D4816" s="21">
        <v>36569079</v>
      </c>
      <c r="E4816" s="21">
        <v>2053919</v>
      </c>
      <c r="F4816" s="20">
        <v>5303048</v>
      </c>
      <c r="G4816" s="20">
        <v>23538234</v>
      </c>
      <c r="H4816" s="19">
        <v>5673876</v>
      </c>
    </row>
    <row r="4817" spans="1:8" ht="18" customHeight="1" x14ac:dyDescent="0.15">
      <c r="A4817" s="250"/>
      <c r="B4817" s="23" t="s">
        <v>88</v>
      </c>
      <c r="C4817" s="22">
        <v>1289</v>
      </c>
      <c r="D4817" s="21">
        <v>40622700</v>
      </c>
      <c r="E4817" s="21">
        <v>3498954</v>
      </c>
      <c r="F4817" s="20">
        <v>6238150</v>
      </c>
      <c r="G4817" s="20">
        <v>27527570</v>
      </c>
      <c r="H4817" s="19">
        <v>3358025</v>
      </c>
    </row>
    <row r="4818" spans="1:8" ht="18" customHeight="1" x14ac:dyDescent="0.15">
      <c r="A4818" s="250"/>
      <c r="B4818" s="23" t="s">
        <v>87</v>
      </c>
      <c r="C4818" s="22">
        <v>124</v>
      </c>
      <c r="D4818" s="21">
        <v>4736249</v>
      </c>
      <c r="E4818" s="21">
        <v>61686</v>
      </c>
      <c r="F4818" s="20">
        <v>181329</v>
      </c>
      <c r="G4818" s="20">
        <v>4408044</v>
      </c>
      <c r="H4818" s="19">
        <v>85189</v>
      </c>
    </row>
    <row r="4819" spans="1:8" ht="18" customHeight="1" x14ac:dyDescent="0.15">
      <c r="A4819" s="250"/>
      <c r="B4819" s="23" t="s">
        <v>86</v>
      </c>
      <c r="C4819" s="22">
        <v>87</v>
      </c>
      <c r="D4819" s="21">
        <v>936600</v>
      </c>
      <c r="E4819" s="21">
        <v>193020</v>
      </c>
      <c r="F4819" s="20">
        <v>50250</v>
      </c>
      <c r="G4819" s="20">
        <v>487320</v>
      </c>
      <c r="H4819" s="19">
        <v>206010</v>
      </c>
    </row>
    <row r="4820" spans="1:8" ht="18" customHeight="1" x14ac:dyDescent="0.15">
      <c r="A4820" s="250"/>
      <c r="B4820" s="23" t="s">
        <v>85</v>
      </c>
      <c r="C4820" s="22">
        <v>38</v>
      </c>
      <c r="D4820" s="21">
        <v>326206</v>
      </c>
      <c r="E4820" s="21">
        <v>118020</v>
      </c>
      <c r="F4820" s="20">
        <v>24266</v>
      </c>
      <c r="G4820" s="20">
        <v>127043</v>
      </c>
      <c r="H4820" s="19">
        <v>56876</v>
      </c>
    </row>
    <row r="4821" spans="1:8" ht="18" customHeight="1" x14ac:dyDescent="0.15">
      <c r="A4821" s="250"/>
      <c r="B4821" s="23" t="s">
        <v>84</v>
      </c>
      <c r="C4821" s="22">
        <v>0</v>
      </c>
      <c r="D4821" s="21">
        <v>0</v>
      </c>
      <c r="E4821" s="21">
        <v>0</v>
      </c>
      <c r="F4821" s="20">
        <v>0</v>
      </c>
      <c r="G4821" s="20">
        <v>0</v>
      </c>
      <c r="H4821" s="19">
        <v>0</v>
      </c>
    </row>
    <row r="4822" spans="1:8" ht="18" customHeight="1" x14ac:dyDescent="0.15">
      <c r="A4822" s="250"/>
      <c r="B4822" s="23" t="s">
        <v>83</v>
      </c>
      <c r="C4822" s="22">
        <v>266</v>
      </c>
      <c r="D4822" s="21">
        <v>11624390</v>
      </c>
      <c r="E4822" s="21">
        <v>826540</v>
      </c>
      <c r="F4822" s="20">
        <v>3623150</v>
      </c>
      <c r="G4822" s="20">
        <v>3787890</v>
      </c>
      <c r="H4822" s="19">
        <v>3386810</v>
      </c>
    </row>
    <row r="4823" spans="1:8" ht="18" customHeight="1" x14ac:dyDescent="0.15">
      <c r="A4823" s="250"/>
      <c r="B4823" s="23" t="s">
        <v>82</v>
      </c>
      <c r="C4823" s="22">
        <v>2862</v>
      </c>
      <c r="D4823" s="21">
        <v>59932594</v>
      </c>
      <c r="E4823" s="21">
        <v>11064283</v>
      </c>
      <c r="F4823" s="20">
        <v>7850509</v>
      </c>
      <c r="G4823" s="20">
        <v>34590096</v>
      </c>
      <c r="H4823" s="19">
        <v>6427704</v>
      </c>
    </row>
    <row r="4824" spans="1:8" ht="18" customHeight="1" x14ac:dyDescent="0.15">
      <c r="A4824" s="250"/>
      <c r="B4824" s="23" t="s">
        <v>81</v>
      </c>
      <c r="C4824" s="22">
        <v>554</v>
      </c>
      <c r="D4824" s="21">
        <v>15629384</v>
      </c>
      <c r="E4824" s="21">
        <v>1925178</v>
      </c>
      <c r="F4824" s="20">
        <v>1495278</v>
      </c>
      <c r="G4824" s="20">
        <v>11068317</v>
      </c>
      <c r="H4824" s="19">
        <v>1140609</v>
      </c>
    </row>
    <row r="4825" spans="1:8" ht="18" customHeight="1" x14ac:dyDescent="0.15">
      <c r="A4825" s="250"/>
      <c r="B4825" s="23" t="s">
        <v>80</v>
      </c>
      <c r="C4825" s="22">
        <v>42448</v>
      </c>
      <c r="D4825" s="21">
        <v>10888646</v>
      </c>
      <c r="E4825" s="21">
        <v>280536</v>
      </c>
      <c r="F4825" s="20">
        <v>6443277</v>
      </c>
      <c r="G4825" s="20">
        <v>3964588</v>
      </c>
      <c r="H4825" s="19">
        <v>200245</v>
      </c>
    </row>
    <row r="4826" spans="1:8" ht="18" customHeight="1" x14ac:dyDescent="0.15">
      <c r="A4826" s="250"/>
      <c r="B4826" s="23" t="s">
        <v>79</v>
      </c>
      <c r="C4826" s="22">
        <v>116</v>
      </c>
      <c r="D4826" s="21">
        <v>1369833</v>
      </c>
      <c r="E4826" s="21">
        <v>10861</v>
      </c>
      <c r="F4826" s="20">
        <v>1053348</v>
      </c>
      <c r="G4826" s="20">
        <v>298824</v>
      </c>
      <c r="H4826" s="19">
        <v>6800</v>
      </c>
    </row>
    <row r="4827" spans="1:8" ht="18" customHeight="1" x14ac:dyDescent="0.15">
      <c r="A4827" s="250"/>
      <c r="B4827" s="23" t="s">
        <v>78</v>
      </c>
      <c r="C4827" s="22">
        <v>43</v>
      </c>
      <c r="D4827" s="21">
        <v>764800</v>
      </c>
      <c r="E4827" s="21">
        <v>121802</v>
      </c>
      <c r="F4827" s="20">
        <v>117300</v>
      </c>
      <c r="G4827" s="20">
        <v>429098</v>
      </c>
      <c r="H4827" s="19">
        <v>96600</v>
      </c>
    </row>
    <row r="4828" spans="1:8" ht="18" customHeight="1" x14ac:dyDescent="0.15">
      <c r="A4828" s="250"/>
      <c r="B4828" s="23" t="s">
        <v>77</v>
      </c>
      <c r="C4828" s="22">
        <v>445</v>
      </c>
      <c r="D4828" s="21">
        <v>1969066</v>
      </c>
      <c r="E4828" s="21">
        <v>404814</v>
      </c>
      <c r="F4828" s="20">
        <v>968786</v>
      </c>
      <c r="G4828" s="20">
        <v>520873</v>
      </c>
      <c r="H4828" s="19">
        <v>74592</v>
      </c>
    </row>
    <row r="4829" spans="1:8" ht="18" customHeight="1" x14ac:dyDescent="0.15">
      <c r="A4829" s="250"/>
      <c r="B4829" s="23" t="s">
        <v>76</v>
      </c>
      <c r="C4829" s="22">
        <v>353</v>
      </c>
      <c r="D4829" s="21">
        <v>9367156</v>
      </c>
      <c r="E4829" s="21">
        <v>1019289</v>
      </c>
      <c r="F4829" s="20">
        <v>1999074</v>
      </c>
      <c r="G4829" s="20">
        <v>5696704</v>
      </c>
      <c r="H4829" s="19">
        <v>652087</v>
      </c>
    </row>
    <row r="4830" spans="1:8" ht="18" customHeight="1" x14ac:dyDescent="0.15">
      <c r="A4830" s="250"/>
      <c r="B4830" s="23" t="s">
        <v>75</v>
      </c>
      <c r="C4830" s="22">
        <v>42</v>
      </c>
      <c r="D4830" s="21">
        <v>1679800</v>
      </c>
      <c r="E4830" s="21">
        <v>115000</v>
      </c>
      <c r="F4830" s="20">
        <v>673300</v>
      </c>
      <c r="G4830" s="20">
        <v>774500</v>
      </c>
      <c r="H4830" s="19">
        <v>117000</v>
      </c>
    </row>
    <row r="4831" spans="1:8" ht="18" customHeight="1" x14ac:dyDescent="0.15">
      <c r="A4831" s="250"/>
      <c r="B4831" s="23" t="s">
        <v>74</v>
      </c>
      <c r="C4831" s="22">
        <v>0</v>
      </c>
      <c r="D4831" s="21">
        <v>0</v>
      </c>
      <c r="E4831" s="21">
        <v>0</v>
      </c>
      <c r="F4831" s="20">
        <v>0</v>
      </c>
      <c r="G4831" s="20">
        <v>0</v>
      </c>
      <c r="H4831" s="19">
        <v>0</v>
      </c>
    </row>
    <row r="4832" spans="1:8" ht="18" customHeight="1" x14ac:dyDescent="0.15">
      <c r="A4832" s="250"/>
      <c r="B4832" s="23" t="s">
        <v>73</v>
      </c>
      <c r="C4832" s="22">
        <v>16</v>
      </c>
      <c r="D4832" s="21">
        <v>500800</v>
      </c>
      <c r="E4832" s="21">
        <v>200</v>
      </c>
      <c r="F4832" s="20">
        <v>198800</v>
      </c>
      <c r="G4832" s="20">
        <v>299700</v>
      </c>
      <c r="H4832" s="19">
        <v>2100</v>
      </c>
    </row>
    <row r="4833" spans="1:8" ht="18" customHeight="1" x14ac:dyDescent="0.15">
      <c r="A4833" s="250"/>
      <c r="B4833" s="23" t="s">
        <v>72</v>
      </c>
      <c r="C4833" s="22">
        <v>1</v>
      </c>
      <c r="D4833" s="21">
        <v>3000</v>
      </c>
      <c r="E4833" s="21">
        <v>100</v>
      </c>
      <c r="F4833" s="20">
        <v>500</v>
      </c>
      <c r="G4833" s="20">
        <v>1000</v>
      </c>
      <c r="H4833" s="19">
        <v>1400</v>
      </c>
    </row>
    <row r="4834" spans="1:8" ht="18" customHeight="1" x14ac:dyDescent="0.15">
      <c r="A4834" s="251"/>
      <c r="B4834" s="23" t="s">
        <v>71</v>
      </c>
      <c r="C4834" s="22">
        <v>14</v>
      </c>
      <c r="D4834" s="21">
        <v>9075</v>
      </c>
      <c r="E4834" s="21">
        <v>2905</v>
      </c>
      <c r="F4834" s="20">
        <v>0</v>
      </c>
      <c r="G4834" s="20">
        <v>5670</v>
      </c>
      <c r="H4834" s="19">
        <v>500</v>
      </c>
    </row>
    <row r="4835" spans="1:8" ht="18" customHeight="1" x14ac:dyDescent="0.15">
      <c r="A4835" s="18" t="s">
        <v>70</v>
      </c>
      <c r="B4835" s="17" t="s">
        <v>69</v>
      </c>
      <c r="C4835" s="16">
        <v>3714</v>
      </c>
      <c r="D4835" s="15">
        <v>14014175</v>
      </c>
      <c r="E4835" s="15">
        <v>1376260</v>
      </c>
      <c r="F4835" s="14">
        <v>4534433</v>
      </c>
      <c r="G4835" s="14">
        <v>6082782</v>
      </c>
      <c r="H4835" s="13">
        <v>2020700</v>
      </c>
    </row>
    <row r="4836" spans="1:8" ht="18" customHeight="1" x14ac:dyDescent="0.15">
      <c r="A4836" s="252" t="s">
        <v>68</v>
      </c>
      <c r="B4836" s="12" t="s">
        <v>67</v>
      </c>
      <c r="C4836" s="11">
        <v>5206</v>
      </c>
      <c r="D4836" s="10">
        <v>77701639</v>
      </c>
      <c r="E4836" s="10">
        <v>47036882</v>
      </c>
      <c r="F4836" s="9">
        <v>14135663</v>
      </c>
      <c r="G4836" s="9">
        <v>10770739</v>
      </c>
      <c r="H4836" s="8">
        <v>5758354</v>
      </c>
    </row>
    <row r="4837" spans="1:8" ht="18" customHeight="1" thickBot="1" x14ac:dyDescent="0.2">
      <c r="A4837" s="253"/>
      <c r="B4837" s="7" t="s">
        <v>66</v>
      </c>
      <c r="C4837" s="6">
        <v>3216</v>
      </c>
      <c r="D4837" s="5" t="s">
        <v>65</v>
      </c>
      <c r="E4837" s="5" t="s">
        <v>54</v>
      </c>
      <c r="F4837" s="5" t="s">
        <v>54</v>
      </c>
      <c r="G4837" s="5" t="s">
        <v>54</v>
      </c>
      <c r="H4837" s="4" t="s">
        <v>54</v>
      </c>
    </row>
    <row r="4838" spans="1:8" ht="18" customHeight="1" x14ac:dyDescent="0.15">
      <c r="A4838" s="3" t="s">
        <v>116</v>
      </c>
      <c r="B4838" s="2"/>
      <c r="C4838" s="2"/>
      <c r="D4838" s="2"/>
      <c r="E4838" s="2"/>
      <c r="F4838" s="2"/>
      <c r="G4838" s="2"/>
      <c r="H4838" s="2"/>
    </row>
    <row r="4839" spans="1:8" ht="18" customHeight="1" x14ac:dyDescent="0.15">
      <c r="A4839" s="230" t="s">
        <v>115</v>
      </c>
      <c r="B4839" s="230"/>
      <c r="C4839" s="230"/>
      <c r="D4839" s="230"/>
      <c r="E4839" s="230"/>
      <c r="F4839" s="230"/>
      <c r="G4839" s="230"/>
      <c r="H4839" s="230"/>
    </row>
    <row r="4840" spans="1:8" ht="18" customHeight="1" x14ac:dyDescent="0.15">
      <c r="A4840" s="231"/>
      <c r="B4840" s="231"/>
      <c r="C4840" s="231"/>
      <c r="D4840" s="231"/>
      <c r="E4840" s="231"/>
      <c r="F4840" s="231"/>
      <c r="G4840" s="231"/>
      <c r="H4840" s="231"/>
    </row>
    <row r="4841" spans="1:8" ht="18" customHeight="1" thickBot="1" x14ac:dyDescent="0.2">
      <c r="A4841" s="58" t="s">
        <v>62</v>
      </c>
    </row>
    <row r="4842" spans="1:8" ht="18" customHeight="1" x14ac:dyDescent="0.15">
      <c r="A4842" s="262" t="s">
        <v>61</v>
      </c>
      <c r="B4842" s="265" t="s">
        <v>110</v>
      </c>
      <c r="C4842" s="268" t="s">
        <v>109</v>
      </c>
      <c r="D4842" s="271" t="s">
        <v>108</v>
      </c>
      <c r="E4842" s="57"/>
      <c r="F4842" s="56"/>
      <c r="G4842" s="56"/>
      <c r="H4842" s="55"/>
    </row>
    <row r="4843" spans="1:8" ht="18" customHeight="1" x14ac:dyDescent="0.15">
      <c r="A4843" s="263"/>
      <c r="B4843" s="266"/>
      <c r="C4843" s="269"/>
      <c r="D4843" s="272"/>
      <c r="E4843" s="258" t="s">
        <v>107</v>
      </c>
      <c r="F4843" s="254" t="s">
        <v>106</v>
      </c>
      <c r="G4843" s="254" t="s">
        <v>105</v>
      </c>
      <c r="H4843" s="260" t="s">
        <v>104</v>
      </c>
    </row>
    <row r="4844" spans="1:8" ht="18" customHeight="1" thickBot="1" x14ac:dyDescent="0.2">
      <c r="A4844" s="264"/>
      <c r="B4844" s="267"/>
      <c r="C4844" s="270"/>
      <c r="D4844" s="245"/>
      <c r="E4844" s="259"/>
      <c r="F4844" s="255"/>
      <c r="G4844" s="255"/>
      <c r="H4844" s="261"/>
    </row>
    <row r="4845" spans="1:8" ht="18" customHeight="1" thickTop="1" x14ac:dyDescent="0.15">
      <c r="A4845" s="54"/>
      <c r="B4845" s="53"/>
      <c r="C4845" s="52"/>
      <c r="D4845" s="51" t="s">
        <v>103</v>
      </c>
      <c r="E4845" s="50" t="s">
        <v>103</v>
      </c>
      <c r="F4845" s="49" t="s">
        <v>103</v>
      </c>
      <c r="G4845" s="49" t="s">
        <v>103</v>
      </c>
      <c r="H4845" s="48" t="s">
        <v>103</v>
      </c>
    </row>
    <row r="4846" spans="1:8" ht="18" customHeight="1" x14ac:dyDescent="0.15">
      <c r="A4846" s="250" t="s">
        <v>102</v>
      </c>
      <c r="B4846" s="47" t="s">
        <v>101</v>
      </c>
      <c r="C4846" s="46">
        <v>3556</v>
      </c>
      <c r="D4846" s="45">
        <v>482133265</v>
      </c>
      <c r="E4846" s="45">
        <v>186494554</v>
      </c>
      <c r="F4846" s="44">
        <v>147547092</v>
      </c>
      <c r="G4846" s="44">
        <v>141565185</v>
      </c>
      <c r="H4846" s="43">
        <v>6526433</v>
      </c>
    </row>
    <row r="4847" spans="1:8" ht="18" customHeight="1" x14ac:dyDescent="0.15">
      <c r="A4847" s="250"/>
      <c r="B4847" s="41" t="s">
        <v>100</v>
      </c>
      <c r="C4847" s="39">
        <v>20</v>
      </c>
      <c r="D4847" s="38">
        <v>146642</v>
      </c>
      <c r="E4847" s="38">
        <v>62089</v>
      </c>
      <c r="F4847" s="37">
        <v>64617</v>
      </c>
      <c r="G4847" s="37">
        <v>19935</v>
      </c>
      <c r="H4847" s="36">
        <v>0</v>
      </c>
    </row>
    <row r="4848" spans="1:8" ht="18" customHeight="1" x14ac:dyDescent="0.15">
      <c r="A4848" s="250"/>
      <c r="B4848" s="41" t="s">
        <v>99</v>
      </c>
      <c r="C4848" s="39">
        <v>19</v>
      </c>
      <c r="D4848" s="38">
        <v>1365</v>
      </c>
      <c r="E4848" s="38">
        <v>1358</v>
      </c>
      <c r="F4848" s="37">
        <v>5</v>
      </c>
      <c r="G4848" s="37">
        <v>2</v>
      </c>
      <c r="H4848" s="36">
        <v>0</v>
      </c>
    </row>
    <row r="4849" spans="1:8" ht="18" customHeight="1" x14ac:dyDescent="0.15">
      <c r="A4849" s="250"/>
      <c r="B4849" s="42" t="s">
        <v>98</v>
      </c>
      <c r="C4849" s="34">
        <v>1</v>
      </c>
      <c r="D4849" s="33">
        <v>143131</v>
      </c>
      <c r="E4849" s="33">
        <v>110220</v>
      </c>
      <c r="F4849" s="32">
        <v>5321</v>
      </c>
      <c r="G4849" s="32">
        <v>25399</v>
      </c>
      <c r="H4849" s="31">
        <v>2189</v>
      </c>
    </row>
    <row r="4850" spans="1:8" ht="18" customHeight="1" x14ac:dyDescent="0.15">
      <c r="A4850" s="250"/>
      <c r="B4850" s="41" t="s">
        <v>97</v>
      </c>
      <c r="C4850" s="39">
        <v>48</v>
      </c>
      <c r="D4850" s="38">
        <v>8832824</v>
      </c>
      <c r="E4850" s="38">
        <v>2664486</v>
      </c>
      <c r="F4850" s="37">
        <v>2017610</v>
      </c>
      <c r="G4850" s="37">
        <v>4119326</v>
      </c>
      <c r="H4850" s="36">
        <v>31400</v>
      </c>
    </row>
    <row r="4851" spans="1:8" ht="18" customHeight="1" x14ac:dyDescent="0.15">
      <c r="A4851" s="250"/>
      <c r="B4851" s="40" t="s">
        <v>96</v>
      </c>
      <c r="C4851" s="39">
        <v>121</v>
      </c>
      <c r="D4851" s="38">
        <v>9418963</v>
      </c>
      <c r="E4851" s="38">
        <v>2483024</v>
      </c>
      <c r="F4851" s="37">
        <v>1185698</v>
      </c>
      <c r="G4851" s="37">
        <v>5731384</v>
      </c>
      <c r="H4851" s="36">
        <v>18856</v>
      </c>
    </row>
    <row r="4852" spans="1:8" ht="18" customHeight="1" x14ac:dyDescent="0.15">
      <c r="A4852" s="251"/>
      <c r="B4852" s="35" t="s">
        <v>95</v>
      </c>
      <c r="C4852" s="34">
        <v>36</v>
      </c>
      <c r="D4852" s="33">
        <v>67846</v>
      </c>
      <c r="E4852" s="33">
        <v>57661</v>
      </c>
      <c r="F4852" s="32">
        <v>1963</v>
      </c>
      <c r="G4852" s="32">
        <v>7883</v>
      </c>
      <c r="H4852" s="31">
        <v>338</v>
      </c>
    </row>
    <row r="4853" spans="1:8" ht="18" customHeight="1" x14ac:dyDescent="0.15">
      <c r="A4853" s="30" t="s">
        <v>94</v>
      </c>
      <c r="B4853" s="29" t="s">
        <v>93</v>
      </c>
      <c r="C4853" s="28">
        <v>39</v>
      </c>
      <c r="D4853" s="15">
        <v>104750</v>
      </c>
      <c r="E4853" s="15">
        <v>102541</v>
      </c>
      <c r="F4853" s="14">
        <v>2055</v>
      </c>
      <c r="G4853" s="14">
        <v>0</v>
      </c>
      <c r="H4853" s="13">
        <v>153</v>
      </c>
    </row>
    <row r="4854" spans="1:8" ht="18" customHeight="1" x14ac:dyDescent="0.15">
      <c r="A4854" s="252" t="s">
        <v>92</v>
      </c>
      <c r="B4854" s="17" t="s">
        <v>91</v>
      </c>
      <c r="C4854" s="16">
        <v>2862</v>
      </c>
      <c r="D4854" s="27">
        <v>57798561</v>
      </c>
      <c r="E4854" s="27">
        <v>8924504</v>
      </c>
      <c r="F4854" s="26">
        <v>6617033</v>
      </c>
      <c r="G4854" s="26">
        <v>35640911</v>
      </c>
      <c r="H4854" s="25">
        <v>6616112</v>
      </c>
    </row>
    <row r="4855" spans="1:8" ht="18" customHeight="1" x14ac:dyDescent="0.15">
      <c r="A4855" s="250"/>
      <c r="B4855" s="23" t="s">
        <v>90</v>
      </c>
      <c r="C4855" s="22">
        <v>3231</v>
      </c>
      <c r="D4855" s="21">
        <v>15850300</v>
      </c>
      <c r="E4855" s="21">
        <v>634659</v>
      </c>
      <c r="F4855" s="20">
        <v>3125764</v>
      </c>
      <c r="G4855" s="20">
        <v>10091303</v>
      </c>
      <c r="H4855" s="19">
        <v>1998572</v>
      </c>
    </row>
    <row r="4856" spans="1:8" ht="18" customHeight="1" x14ac:dyDescent="0.15">
      <c r="A4856" s="250"/>
      <c r="B4856" s="24" t="s">
        <v>89</v>
      </c>
      <c r="C4856" s="22">
        <v>614</v>
      </c>
      <c r="D4856" s="21">
        <v>36658916</v>
      </c>
      <c r="E4856" s="21">
        <v>2039496</v>
      </c>
      <c r="F4856" s="20">
        <v>5337757</v>
      </c>
      <c r="G4856" s="20">
        <v>23709618</v>
      </c>
      <c r="H4856" s="19">
        <v>5572043</v>
      </c>
    </row>
    <row r="4857" spans="1:8" ht="18" customHeight="1" x14ac:dyDescent="0.15">
      <c r="A4857" s="250"/>
      <c r="B4857" s="23" t="s">
        <v>88</v>
      </c>
      <c r="C4857" s="22">
        <v>1289</v>
      </c>
      <c r="D4857" s="21">
        <v>40616100</v>
      </c>
      <c r="E4857" s="21">
        <v>3486084</v>
      </c>
      <c r="F4857" s="20">
        <v>6272460</v>
      </c>
      <c r="G4857" s="20">
        <v>27520376</v>
      </c>
      <c r="H4857" s="19">
        <v>3337178</v>
      </c>
    </row>
    <row r="4858" spans="1:8" ht="18" customHeight="1" x14ac:dyDescent="0.15">
      <c r="A4858" s="250"/>
      <c r="B4858" s="23" t="s">
        <v>87</v>
      </c>
      <c r="C4858" s="22">
        <v>125</v>
      </c>
      <c r="D4858" s="21">
        <v>4754349</v>
      </c>
      <c r="E4858" s="21">
        <v>54243</v>
      </c>
      <c r="F4858" s="20">
        <v>191502</v>
      </c>
      <c r="G4858" s="20">
        <v>4416571</v>
      </c>
      <c r="H4858" s="19">
        <v>92031</v>
      </c>
    </row>
    <row r="4859" spans="1:8" ht="18" customHeight="1" x14ac:dyDescent="0.15">
      <c r="A4859" s="250"/>
      <c r="B4859" s="23" t="s">
        <v>86</v>
      </c>
      <c r="C4859" s="22">
        <v>86</v>
      </c>
      <c r="D4859" s="21">
        <v>932600</v>
      </c>
      <c r="E4859" s="21">
        <v>190720</v>
      </c>
      <c r="F4859" s="20">
        <v>48450</v>
      </c>
      <c r="G4859" s="20">
        <v>486120</v>
      </c>
      <c r="H4859" s="19">
        <v>207310</v>
      </c>
    </row>
    <row r="4860" spans="1:8" ht="18" customHeight="1" x14ac:dyDescent="0.15">
      <c r="A4860" s="250"/>
      <c r="B4860" s="23" t="s">
        <v>85</v>
      </c>
      <c r="C4860" s="22">
        <v>38</v>
      </c>
      <c r="D4860" s="21">
        <v>326206</v>
      </c>
      <c r="E4860" s="21">
        <v>118140</v>
      </c>
      <c r="F4860" s="20">
        <v>24266</v>
      </c>
      <c r="G4860" s="20">
        <v>127223</v>
      </c>
      <c r="H4860" s="19">
        <v>56576</v>
      </c>
    </row>
    <row r="4861" spans="1:8" ht="18" customHeight="1" x14ac:dyDescent="0.15">
      <c r="A4861" s="250"/>
      <c r="B4861" s="23" t="s">
        <v>84</v>
      </c>
      <c r="C4861" s="22">
        <v>0</v>
      </c>
      <c r="D4861" s="21">
        <v>0</v>
      </c>
      <c r="E4861" s="21">
        <v>0</v>
      </c>
      <c r="F4861" s="20">
        <v>0</v>
      </c>
      <c r="G4861" s="20">
        <v>0</v>
      </c>
      <c r="H4861" s="19">
        <v>0</v>
      </c>
    </row>
    <row r="4862" spans="1:8" ht="18" customHeight="1" x14ac:dyDescent="0.15">
      <c r="A4862" s="250"/>
      <c r="B4862" s="23" t="s">
        <v>83</v>
      </c>
      <c r="C4862" s="22">
        <v>264</v>
      </c>
      <c r="D4862" s="21">
        <v>11647490</v>
      </c>
      <c r="E4862" s="21">
        <v>829100</v>
      </c>
      <c r="F4862" s="20">
        <v>3647860</v>
      </c>
      <c r="G4862" s="20">
        <v>3774820</v>
      </c>
      <c r="H4862" s="19">
        <v>3395710</v>
      </c>
    </row>
    <row r="4863" spans="1:8" ht="18" customHeight="1" x14ac:dyDescent="0.15">
      <c r="A4863" s="250"/>
      <c r="B4863" s="23" t="s">
        <v>82</v>
      </c>
      <c r="C4863" s="22">
        <v>2865</v>
      </c>
      <c r="D4863" s="21">
        <v>59770338</v>
      </c>
      <c r="E4863" s="21">
        <v>10609562</v>
      </c>
      <c r="F4863" s="20">
        <v>7925943</v>
      </c>
      <c r="G4863" s="20">
        <v>34816087</v>
      </c>
      <c r="H4863" s="19">
        <v>6418744</v>
      </c>
    </row>
    <row r="4864" spans="1:8" ht="18" customHeight="1" x14ac:dyDescent="0.15">
      <c r="A4864" s="250"/>
      <c r="B4864" s="23" t="s">
        <v>81</v>
      </c>
      <c r="C4864" s="22">
        <v>557</v>
      </c>
      <c r="D4864" s="21">
        <v>15724384</v>
      </c>
      <c r="E4864" s="21">
        <v>1933826</v>
      </c>
      <c r="F4864" s="20">
        <v>1498084</v>
      </c>
      <c r="G4864" s="20">
        <v>11172928</v>
      </c>
      <c r="H4864" s="19">
        <v>1119544</v>
      </c>
    </row>
    <row r="4865" spans="1:8" ht="18" customHeight="1" x14ac:dyDescent="0.15">
      <c r="A4865" s="250"/>
      <c r="B4865" s="23" t="s">
        <v>80</v>
      </c>
      <c r="C4865" s="22">
        <v>42581</v>
      </c>
      <c r="D4865" s="21">
        <v>10958854</v>
      </c>
      <c r="E4865" s="21">
        <v>290736</v>
      </c>
      <c r="F4865" s="20">
        <v>6505364</v>
      </c>
      <c r="G4865" s="20">
        <v>3963679</v>
      </c>
      <c r="H4865" s="19">
        <v>199075</v>
      </c>
    </row>
    <row r="4866" spans="1:8" ht="18" customHeight="1" x14ac:dyDescent="0.15">
      <c r="A4866" s="250"/>
      <c r="B4866" s="23" t="s">
        <v>79</v>
      </c>
      <c r="C4866" s="22">
        <v>117</v>
      </c>
      <c r="D4866" s="21">
        <v>1372658</v>
      </c>
      <c r="E4866" s="21">
        <v>10861</v>
      </c>
      <c r="F4866" s="20">
        <v>1053248</v>
      </c>
      <c r="G4866" s="20">
        <v>301749</v>
      </c>
      <c r="H4866" s="19">
        <v>6800</v>
      </c>
    </row>
    <row r="4867" spans="1:8" ht="18" customHeight="1" x14ac:dyDescent="0.15">
      <c r="A4867" s="250"/>
      <c r="B4867" s="23" t="s">
        <v>78</v>
      </c>
      <c r="C4867" s="22">
        <v>41</v>
      </c>
      <c r="D4867" s="21">
        <v>757800</v>
      </c>
      <c r="E4867" s="21">
        <v>122802</v>
      </c>
      <c r="F4867" s="20">
        <v>116500</v>
      </c>
      <c r="G4867" s="20">
        <v>423998</v>
      </c>
      <c r="H4867" s="19">
        <v>94500</v>
      </c>
    </row>
    <row r="4868" spans="1:8" ht="18" customHeight="1" x14ac:dyDescent="0.15">
      <c r="A4868" s="250"/>
      <c r="B4868" s="23" t="s">
        <v>77</v>
      </c>
      <c r="C4868" s="22">
        <v>451</v>
      </c>
      <c r="D4868" s="21">
        <v>2011214</v>
      </c>
      <c r="E4868" s="21">
        <v>384589</v>
      </c>
      <c r="F4868" s="20">
        <v>1001159</v>
      </c>
      <c r="G4868" s="20">
        <v>545173</v>
      </c>
      <c r="H4868" s="19">
        <v>80292</v>
      </c>
    </row>
    <row r="4869" spans="1:8" ht="18" customHeight="1" x14ac:dyDescent="0.15">
      <c r="A4869" s="250"/>
      <c r="B4869" s="23" t="s">
        <v>76</v>
      </c>
      <c r="C4869" s="22">
        <v>350</v>
      </c>
      <c r="D4869" s="21">
        <v>9375056</v>
      </c>
      <c r="E4869" s="21">
        <v>1031192</v>
      </c>
      <c r="F4869" s="20">
        <v>1986671</v>
      </c>
      <c r="G4869" s="20">
        <v>5703704</v>
      </c>
      <c r="H4869" s="19">
        <v>653487</v>
      </c>
    </row>
    <row r="4870" spans="1:8" ht="18" customHeight="1" x14ac:dyDescent="0.15">
      <c r="A4870" s="250"/>
      <c r="B4870" s="23" t="s">
        <v>75</v>
      </c>
      <c r="C4870" s="22">
        <v>41</v>
      </c>
      <c r="D4870" s="21">
        <v>1579800</v>
      </c>
      <c r="E4870" s="21">
        <v>113100</v>
      </c>
      <c r="F4870" s="20">
        <v>640100</v>
      </c>
      <c r="G4870" s="20">
        <v>721800</v>
      </c>
      <c r="H4870" s="19">
        <v>104800</v>
      </c>
    </row>
    <row r="4871" spans="1:8" ht="18" customHeight="1" x14ac:dyDescent="0.15">
      <c r="A4871" s="250"/>
      <c r="B4871" s="23" t="s">
        <v>74</v>
      </c>
      <c r="C4871" s="22">
        <v>0</v>
      </c>
      <c r="D4871" s="21">
        <v>0</v>
      </c>
      <c r="E4871" s="21">
        <v>0</v>
      </c>
      <c r="F4871" s="20">
        <v>0</v>
      </c>
      <c r="G4871" s="20">
        <v>0</v>
      </c>
      <c r="H4871" s="19">
        <v>0</v>
      </c>
    </row>
    <row r="4872" spans="1:8" ht="18" customHeight="1" x14ac:dyDescent="0.15">
      <c r="A4872" s="250"/>
      <c r="B4872" s="23" t="s">
        <v>73</v>
      </c>
      <c r="C4872" s="22">
        <v>16</v>
      </c>
      <c r="D4872" s="21">
        <v>500800</v>
      </c>
      <c r="E4872" s="21">
        <v>200</v>
      </c>
      <c r="F4872" s="20">
        <v>200300</v>
      </c>
      <c r="G4872" s="20">
        <v>298200</v>
      </c>
      <c r="H4872" s="19">
        <v>2100</v>
      </c>
    </row>
    <row r="4873" spans="1:8" ht="18" customHeight="1" x14ac:dyDescent="0.15">
      <c r="A4873" s="250"/>
      <c r="B4873" s="23" t="s">
        <v>72</v>
      </c>
      <c r="C4873" s="22">
        <v>0</v>
      </c>
      <c r="D4873" s="21">
        <v>0</v>
      </c>
      <c r="E4873" s="21">
        <v>0</v>
      </c>
      <c r="F4873" s="20">
        <v>0</v>
      </c>
      <c r="G4873" s="20">
        <v>0</v>
      </c>
      <c r="H4873" s="19">
        <v>0</v>
      </c>
    </row>
    <row r="4874" spans="1:8" ht="18" customHeight="1" x14ac:dyDescent="0.15">
      <c r="A4874" s="251"/>
      <c r="B4874" s="23" t="s">
        <v>71</v>
      </c>
      <c r="C4874" s="22">
        <v>14</v>
      </c>
      <c r="D4874" s="21">
        <v>9075</v>
      </c>
      <c r="E4874" s="21">
        <v>2905</v>
      </c>
      <c r="F4874" s="20">
        <v>0</v>
      </c>
      <c r="G4874" s="20">
        <v>5670</v>
      </c>
      <c r="H4874" s="19">
        <v>500</v>
      </c>
    </row>
    <row r="4875" spans="1:8" ht="18" customHeight="1" x14ac:dyDescent="0.15">
      <c r="A4875" s="18" t="s">
        <v>70</v>
      </c>
      <c r="B4875" s="17" t="s">
        <v>69</v>
      </c>
      <c r="C4875" s="16">
        <v>3901</v>
      </c>
      <c r="D4875" s="15">
        <v>15535338</v>
      </c>
      <c r="E4875" s="15">
        <v>1332960</v>
      </c>
      <c r="F4875" s="14">
        <v>5249154</v>
      </c>
      <c r="G4875" s="14">
        <v>6598024</v>
      </c>
      <c r="H4875" s="13">
        <v>2355200</v>
      </c>
    </row>
    <row r="4876" spans="1:8" ht="18" customHeight="1" x14ac:dyDescent="0.15">
      <c r="A4876" s="252" t="s">
        <v>68</v>
      </c>
      <c r="B4876" s="12" t="s">
        <v>67</v>
      </c>
      <c r="C4876" s="11">
        <v>5162</v>
      </c>
      <c r="D4876" s="10">
        <v>76826330</v>
      </c>
      <c r="E4876" s="10">
        <v>46367232</v>
      </c>
      <c r="F4876" s="9">
        <v>14065596</v>
      </c>
      <c r="G4876" s="9">
        <v>10693981</v>
      </c>
      <c r="H4876" s="8">
        <v>5699520</v>
      </c>
    </row>
    <row r="4877" spans="1:8" ht="18" customHeight="1" thickBot="1" x14ac:dyDescent="0.2">
      <c r="A4877" s="253"/>
      <c r="B4877" s="7" t="s">
        <v>66</v>
      </c>
      <c r="C4877" s="6">
        <v>3169</v>
      </c>
      <c r="D4877" s="5" t="s">
        <v>65</v>
      </c>
      <c r="E4877" s="5" t="s">
        <v>65</v>
      </c>
      <c r="F4877" s="5" t="s">
        <v>65</v>
      </c>
      <c r="G4877" s="5" t="s">
        <v>65</v>
      </c>
      <c r="H4877" s="4" t="s">
        <v>65</v>
      </c>
    </row>
    <row r="4878" spans="1:8" ht="18" customHeight="1" x14ac:dyDescent="0.15">
      <c r="A4878" s="3" t="s">
        <v>114</v>
      </c>
      <c r="B4878" s="2"/>
      <c r="C4878" s="2"/>
      <c r="D4878" s="2"/>
      <c r="E4878" s="2"/>
      <c r="F4878" s="2"/>
      <c r="G4878" s="2"/>
      <c r="H4878" s="2"/>
    </row>
    <row r="4879" spans="1:8" ht="18" customHeight="1" x14ac:dyDescent="0.15">
      <c r="A4879" s="230" t="s">
        <v>113</v>
      </c>
      <c r="B4879" s="230"/>
      <c r="C4879" s="230"/>
      <c r="D4879" s="230"/>
      <c r="E4879" s="230"/>
      <c r="F4879" s="230"/>
      <c r="G4879" s="230"/>
      <c r="H4879" s="230"/>
    </row>
    <row r="4880" spans="1:8" ht="18" customHeight="1" x14ac:dyDescent="0.15">
      <c r="A4880" s="231"/>
      <c r="B4880" s="231"/>
      <c r="C4880" s="231"/>
      <c r="D4880" s="231"/>
      <c r="E4880" s="231"/>
      <c r="F4880" s="231"/>
      <c r="G4880" s="231"/>
      <c r="H4880" s="231"/>
    </row>
    <row r="4881" spans="1:8" ht="18" customHeight="1" thickBot="1" x14ac:dyDescent="0.2">
      <c r="A4881" s="58" t="s">
        <v>62</v>
      </c>
    </row>
    <row r="4882" spans="1:8" ht="18" customHeight="1" x14ac:dyDescent="0.15">
      <c r="A4882" s="262" t="s">
        <v>61</v>
      </c>
      <c r="B4882" s="265" t="s">
        <v>110</v>
      </c>
      <c r="C4882" s="268" t="s">
        <v>109</v>
      </c>
      <c r="D4882" s="271" t="s">
        <v>108</v>
      </c>
      <c r="E4882" s="57"/>
      <c r="F4882" s="56"/>
      <c r="G4882" s="56"/>
      <c r="H4882" s="55"/>
    </row>
    <row r="4883" spans="1:8" ht="18" customHeight="1" x14ac:dyDescent="0.15">
      <c r="A4883" s="263"/>
      <c r="B4883" s="266"/>
      <c r="C4883" s="269"/>
      <c r="D4883" s="272"/>
      <c r="E4883" s="258" t="s">
        <v>107</v>
      </c>
      <c r="F4883" s="254" t="s">
        <v>106</v>
      </c>
      <c r="G4883" s="254" t="s">
        <v>105</v>
      </c>
      <c r="H4883" s="260" t="s">
        <v>104</v>
      </c>
    </row>
    <row r="4884" spans="1:8" ht="18" customHeight="1" thickBot="1" x14ac:dyDescent="0.2">
      <c r="A4884" s="264"/>
      <c r="B4884" s="267"/>
      <c r="C4884" s="270"/>
      <c r="D4884" s="245"/>
      <c r="E4884" s="259"/>
      <c r="F4884" s="255"/>
      <c r="G4884" s="255"/>
      <c r="H4884" s="261"/>
    </row>
    <row r="4885" spans="1:8" ht="18" customHeight="1" thickTop="1" x14ac:dyDescent="0.15">
      <c r="A4885" s="54"/>
      <c r="B4885" s="53"/>
      <c r="C4885" s="52"/>
      <c r="D4885" s="51" t="s">
        <v>103</v>
      </c>
      <c r="E4885" s="50" t="s">
        <v>103</v>
      </c>
      <c r="F4885" s="49" t="s">
        <v>103</v>
      </c>
      <c r="G4885" s="49" t="s">
        <v>103</v>
      </c>
      <c r="H4885" s="48" t="s">
        <v>103</v>
      </c>
    </row>
    <row r="4886" spans="1:8" ht="18" customHeight="1" x14ac:dyDescent="0.15">
      <c r="A4886" s="250" t="s">
        <v>102</v>
      </c>
      <c r="B4886" s="47" t="s">
        <v>101</v>
      </c>
      <c r="C4886" s="46">
        <v>3561</v>
      </c>
      <c r="D4886" s="45">
        <v>491231181</v>
      </c>
      <c r="E4886" s="45">
        <v>188154245</v>
      </c>
      <c r="F4886" s="44">
        <v>152693947</v>
      </c>
      <c r="G4886" s="44">
        <v>143732282</v>
      </c>
      <c r="H4886" s="43">
        <v>6650704</v>
      </c>
    </row>
    <row r="4887" spans="1:8" ht="18" customHeight="1" x14ac:dyDescent="0.15">
      <c r="A4887" s="250"/>
      <c r="B4887" s="41" t="s">
        <v>100</v>
      </c>
      <c r="C4887" s="39">
        <v>20</v>
      </c>
      <c r="D4887" s="38">
        <v>149727</v>
      </c>
      <c r="E4887" s="38">
        <v>65592</v>
      </c>
      <c r="F4887" s="37">
        <v>63329</v>
      </c>
      <c r="G4887" s="37">
        <v>20806</v>
      </c>
      <c r="H4887" s="36">
        <v>0</v>
      </c>
    </row>
    <row r="4888" spans="1:8" ht="18" customHeight="1" x14ac:dyDescent="0.15">
      <c r="A4888" s="250"/>
      <c r="B4888" s="41" t="s">
        <v>99</v>
      </c>
      <c r="C4888" s="39">
        <v>20</v>
      </c>
      <c r="D4888" s="38">
        <v>1153</v>
      </c>
      <c r="E4888" s="38">
        <v>1153</v>
      </c>
      <c r="F4888" s="59">
        <v>0</v>
      </c>
      <c r="G4888" s="37">
        <v>0</v>
      </c>
      <c r="H4888" s="36">
        <v>0</v>
      </c>
    </row>
    <row r="4889" spans="1:8" ht="18" customHeight="1" x14ac:dyDescent="0.15">
      <c r="A4889" s="250"/>
      <c r="B4889" s="42" t="s">
        <v>98</v>
      </c>
      <c r="C4889" s="34">
        <v>1</v>
      </c>
      <c r="D4889" s="33">
        <v>142990</v>
      </c>
      <c r="E4889" s="33">
        <v>110088</v>
      </c>
      <c r="F4889" s="32">
        <v>5314</v>
      </c>
      <c r="G4889" s="32">
        <v>25399</v>
      </c>
      <c r="H4889" s="31">
        <v>2188</v>
      </c>
    </row>
    <row r="4890" spans="1:8" ht="18" customHeight="1" x14ac:dyDescent="0.15">
      <c r="A4890" s="250"/>
      <c r="B4890" s="41" t="s">
        <v>97</v>
      </c>
      <c r="C4890" s="39">
        <v>48</v>
      </c>
      <c r="D4890" s="38">
        <v>8561498</v>
      </c>
      <c r="E4890" s="38">
        <v>2524514</v>
      </c>
      <c r="F4890" s="37">
        <v>2014679</v>
      </c>
      <c r="G4890" s="37">
        <v>4003894</v>
      </c>
      <c r="H4890" s="36">
        <v>18410</v>
      </c>
    </row>
    <row r="4891" spans="1:8" ht="18" customHeight="1" x14ac:dyDescent="0.15">
      <c r="A4891" s="250"/>
      <c r="B4891" s="40" t="s">
        <v>96</v>
      </c>
      <c r="C4891" s="39">
        <v>120</v>
      </c>
      <c r="D4891" s="38">
        <v>9378494</v>
      </c>
      <c r="E4891" s="38">
        <v>2569322</v>
      </c>
      <c r="F4891" s="37">
        <v>1135864</v>
      </c>
      <c r="G4891" s="37">
        <v>5654919</v>
      </c>
      <c r="H4891" s="36">
        <v>18387</v>
      </c>
    </row>
    <row r="4892" spans="1:8" ht="18" customHeight="1" x14ac:dyDescent="0.15">
      <c r="A4892" s="251"/>
      <c r="B4892" s="35" t="s">
        <v>95</v>
      </c>
      <c r="C4892" s="34">
        <v>36</v>
      </c>
      <c r="D4892" s="33">
        <v>66547</v>
      </c>
      <c r="E4892" s="33">
        <v>57061</v>
      </c>
      <c r="F4892" s="32">
        <v>1715</v>
      </c>
      <c r="G4892" s="32">
        <v>7457</v>
      </c>
      <c r="H4892" s="31">
        <v>313</v>
      </c>
    </row>
    <row r="4893" spans="1:8" ht="18" customHeight="1" x14ac:dyDescent="0.15">
      <c r="A4893" s="30" t="s">
        <v>94</v>
      </c>
      <c r="B4893" s="29" t="s">
        <v>93</v>
      </c>
      <c r="C4893" s="28">
        <v>39</v>
      </c>
      <c r="D4893" s="15">
        <v>100641</v>
      </c>
      <c r="E4893" s="15">
        <v>98578</v>
      </c>
      <c r="F4893" s="14">
        <v>1969</v>
      </c>
      <c r="G4893" s="14">
        <v>0</v>
      </c>
      <c r="H4893" s="13">
        <v>93</v>
      </c>
    </row>
    <row r="4894" spans="1:8" ht="18" customHeight="1" x14ac:dyDescent="0.15">
      <c r="A4894" s="252" t="s">
        <v>92</v>
      </c>
      <c r="B4894" s="17" t="s">
        <v>91</v>
      </c>
      <c r="C4894" s="16">
        <v>2853</v>
      </c>
      <c r="D4894" s="27">
        <v>57636668</v>
      </c>
      <c r="E4894" s="27">
        <v>8899465</v>
      </c>
      <c r="F4894" s="26">
        <v>6586410</v>
      </c>
      <c r="G4894" s="26">
        <v>35597586</v>
      </c>
      <c r="H4894" s="25">
        <v>6553206</v>
      </c>
    </row>
    <row r="4895" spans="1:8" ht="18" customHeight="1" x14ac:dyDescent="0.15">
      <c r="A4895" s="250"/>
      <c r="B4895" s="23" t="s">
        <v>90</v>
      </c>
      <c r="C4895" s="22">
        <v>3231</v>
      </c>
      <c r="D4895" s="21">
        <v>15850647</v>
      </c>
      <c r="E4895" s="21">
        <v>651986</v>
      </c>
      <c r="F4895" s="20">
        <v>3131590</v>
      </c>
      <c r="G4895" s="20">
        <v>10071956</v>
      </c>
      <c r="H4895" s="19">
        <v>1995113</v>
      </c>
    </row>
    <row r="4896" spans="1:8" ht="18" customHeight="1" x14ac:dyDescent="0.15">
      <c r="A4896" s="250"/>
      <c r="B4896" s="24" t="s">
        <v>89</v>
      </c>
      <c r="C4896" s="22">
        <v>615</v>
      </c>
      <c r="D4896" s="21">
        <v>36514018</v>
      </c>
      <c r="E4896" s="21">
        <v>2022138</v>
      </c>
      <c r="F4896" s="20">
        <v>5360895</v>
      </c>
      <c r="G4896" s="20">
        <v>23602268</v>
      </c>
      <c r="H4896" s="19">
        <v>5528716</v>
      </c>
    </row>
    <row r="4897" spans="1:8" ht="18" customHeight="1" x14ac:dyDescent="0.15">
      <c r="A4897" s="250"/>
      <c r="B4897" s="23" t="s">
        <v>88</v>
      </c>
      <c r="C4897" s="22">
        <v>1282</v>
      </c>
      <c r="D4897" s="21">
        <v>40438900</v>
      </c>
      <c r="E4897" s="21">
        <v>3449002</v>
      </c>
      <c r="F4897" s="20">
        <v>6222030</v>
      </c>
      <c r="G4897" s="20">
        <v>27471618</v>
      </c>
      <c r="H4897" s="19">
        <v>3296248</v>
      </c>
    </row>
    <row r="4898" spans="1:8" ht="18" customHeight="1" x14ac:dyDescent="0.15">
      <c r="A4898" s="250"/>
      <c r="B4898" s="23" t="s">
        <v>87</v>
      </c>
      <c r="C4898" s="22">
        <v>124</v>
      </c>
      <c r="D4898" s="21">
        <v>4729349</v>
      </c>
      <c r="E4898" s="21">
        <v>56119</v>
      </c>
      <c r="F4898" s="20">
        <v>189513</v>
      </c>
      <c r="G4898" s="20">
        <v>4391795</v>
      </c>
      <c r="H4898" s="19">
        <v>91921</v>
      </c>
    </row>
    <row r="4899" spans="1:8" ht="18" customHeight="1" x14ac:dyDescent="0.15">
      <c r="A4899" s="250"/>
      <c r="B4899" s="23" t="s">
        <v>86</v>
      </c>
      <c r="C4899" s="22">
        <v>86</v>
      </c>
      <c r="D4899" s="21">
        <v>932600</v>
      </c>
      <c r="E4899" s="21">
        <v>191220</v>
      </c>
      <c r="F4899" s="20">
        <v>48850</v>
      </c>
      <c r="G4899" s="20">
        <v>486220</v>
      </c>
      <c r="H4899" s="19">
        <v>206310</v>
      </c>
    </row>
    <row r="4900" spans="1:8" ht="18" customHeight="1" x14ac:dyDescent="0.15">
      <c r="A4900" s="250"/>
      <c r="B4900" s="23" t="s">
        <v>85</v>
      </c>
      <c r="C4900" s="22">
        <v>38</v>
      </c>
      <c r="D4900" s="21">
        <v>326206</v>
      </c>
      <c r="E4900" s="21">
        <v>117915</v>
      </c>
      <c r="F4900" s="20">
        <v>24266</v>
      </c>
      <c r="G4900" s="20">
        <v>127323</v>
      </c>
      <c r="H4900" s="19">
        <v>56701</v>
      </c>
    </row>
    <row r="4901" spans="1:8" ht="18" customHeight="1" x14ac:dyDescent="0.15">
      <c r="A4901" s="250"/>
      <c r="B4901" s="23" t="s">
        <v>84</v>
      </c>
      <c r="C4901" s="22">
        <v>0</v>
      </c>
      <c r="D4901" s="21">
        <v>0</v>
      </c>
      <c r="E4901" s="21">
        <v>0</v>
      </c>
      <c r="F4901" s="20">
        <v>0</v>
      </c>
      <c r="G4901" s="20">
        <v>0</v>
      </c>
      <c r="H4901" s="19">
        <v>0</v>
      </c>
    </row>
    <row r="4902" spans="1:8" ht="18" customHeight="1" x14ac:dyDescent="0.15">
      <c r="A4902" s="250"/>
      <c r="B4902" s="23" t="s">
        <v>83</v>
      </c>
      <c r="C4902" s="22">
        <v>264</v>
      </c>
      <c r="D4902" s="21">
        <v>11740310</v>
      </c>
      <c r="E4902" s="21">
        <v>903920</v>
      </c>
      <c r="F4902" s="20">
        <v>3677100</v>
      </c>
      <c r="G4902" s="20">
        <v>3774470</v>
      </c>
      <c r="H4902" s="19">
        <v>3384820</v>
      </c>
    </row>
    <row r="4903" spans="1:8" ht="18" customHeight="1" x14ac:dyDescent="0.15">
      <c r="A4903" s="250"/>
      <c r="B4903" s="23" t="s">
        <v>82</v>
      </c>
      <c r="C4903" s="22">
        <v>2863</v>
      </c>
      <c r="D4903" s="21">
        <v>59826081</v>
      </c>
      <c r="E4903" s="21">
        <v>10645034</v>
      </c>
      <c r="F4903" s="20">
        <v>7888179</v>
      </c>
      <c r="G4903" s="20">
        <v>34889980</v>
      </c>
      <c r="H4903" s="19">
        <v>6402886</v>
      </c>
    </row>
    <row r="4904" spans="1:8" ht="18" customHeight="1" x14ac:dyDescent="0.15">
      <c r="A4904" s="250"/>
      <c r="B4904" s="23" t="s">
        <v>81</v>
      </c>
      <c r="C4904" s="22">
        <v>558</v>
      </c>
      <c r="D4904" s="21">
        <v>15734384</v>
      </c>
      <c r="E4904" s="21">
        <v>1937431</v>
      </c>
      <c r="F4904" s="20">
        <v>1501289</v>
      </c>
      <c r="G4904" s="20">
        <v>11176378</v>
      </c>
      <c r="H4904" s="19">
        <v>1119285</v>
      </c>
    </row>
    <row r="4905" spans="1:8" ht="18" customHeight="1" x14ac:dyDescent="0.15">
      <c r="A4905" s="250"/>
      <c r="B4905" s="23" t="s">
        <v>80</v>
      </c>
      <c r="C4905" s="22">
        <v>42666</v>
      </c>
      <c r="D4905" s="21">
        <v>11032857</v>
      </c>
      <c r="E4905" s="21">
        <v>290436</v>
      </c>
      <c r="F4905" s="20">
        <v>6571662</v>
      </c>
      <c r="G4905" s="20">
        <v>3974454</v>
      </c>
      <c r="H4905" s="19">
        <v>196305</v>
      </c>
    </row>
    <row r="4906" spans="1:8" ht="18" customHeight="1" x14ac:dyDescent="0.15">
      <c r="A4906" s="250"/>
      <c r="B4906" s="23" t="s">
        <v>79</v>
      </c>
      <c r="C4906" s="22">
        <v>115</v>
      </c>
      <c r="D4906" s="21">
        <v>1369558</v>
      </c>
      <c r="E4906" s="21">
        <v>10861</v>
      </c>
      <c r="F4906" s="20">
        <v>1052948</v>
      </c>
      <c r="G4906" s="20">
        <v>298949</v>
      </c>
      <c r="H4906" s="19">
        <v>6800</v>
      </c>
    </row>
    <row r="4907" spans="1:8" ht="18" customHeight="1" x14ac:dyDescent="0.15">
      <c r="A4907" s="250"/>
      <c r="B4907" s="23" t="s">
        <v>78</v>
      </c>
      <c r="C4907" s="22">
        <v>40</v>
      </c>
      <c r="D4907" s="21">
        <v>754800</v>
      </c>
      <c r="E4907" s="21">
        <v>124002</v>
      </c>
      <c r="F4907" s="20">
        <v>116400</v>
      </c>
      <c r="G4907" s="20">
        <v>420498</v>
      </c>
      <c r="H4907" s="19">
        <v>93900</v>
      </c>
    </row>
    <row r="4908" spans="1:8" ht="18" customHeight="1" x14ac:dyDescent="0.15">
      <c r="A4908" s="250"/>
      <c r="B4908" s="23" t="s">
        <v>77</v>
      </c>
      <c r="C4908" s="22">
        <v>455</v>
      </c>
      <c r="D4908" s="21">
        <v>2004198</v>
      </c>
      <c r="E4908" s="21">
        <v>394201</v>
      </c>
      <c r="F4908" s="20">
        <v>977179</v>
      </c>
      <c r="G4908" s="20">
        <v>549025</v>
      </c>
      <c r="H4908" s="19">
        <v>83792</v>
      </c>
    </row>
    <row r="4909" spans="1:8" ht="18" customHeight="1" x14ac:dyDescent="0.15">
      <c r="A4909" s="250"/>
      <c r="B4909" s="23" t="s">
        <v>76</v>
      </c>
      <c r="C4909" s="22">
        <v>354</v>
      </c>
      <c r="D4909" s="21">
        <v>9513356</v>
      </c>
      <c r="E4909" s="21">
        <v>1052792</v>
      </c>
      <c r="F4909" s="20">
        <v>2010471</v>
      </c>
      <c r="G4909" s="20">
        <v>5785504</v>
      </c>
      <c r="H4909" s="19">
        <v>664587</v>
      </c>
    </row>
    <row r="4910" spans="1:8" ht="18" customHeight="1" x14ac:dyDescent="0.15">
      <c r="A4910" s="250"/>
      <c r="B4910" s="23" t="s">
        <v>75</v>
      </c>
      <c r="C4910" s="22">
        <v>41</v>
      </c>
      <c r="D4910" s="21">
        <v>1579800</v>
      </c>
      <c r="E4910" s="21">
        <v>113100</v>
      </c>
      <c r="F4910" s="20">
        <v>640100</v>
      </c>
      <c r="G4910" s="20">
        <v>721500</v>
      </c>
      <c r="H4910" s="19">
        <v>105100</v>
      </c>
    </row>
    <row r="4911" spans="1:8" ht="18" customHeight="1" x14ac:dyDescent="0.15">
      <c r="A4911" s="250"/>
      <c r="B4911" s="23" t="s">
        <v>74</v>
      </c>
      <c r="C4911" s="22">
        <v>0</v>
      </c>
      <c r="D4911" s="21">
        <v>0</v>
      </c>
      <c r="E4911" s="21">
        <v>0</v>
      </c>
      <c r="F4911" s="20">
        <v>0</v>
      </c>
      <c r="G4911" s="20">
        <v>0</v>
      </c>
      <c r="H4911" s="19">
        <v>0</v>
      </c>
    </row>
    <row r="4912" spans="1:8" ht="18" customHeight="1" x14ac:dyDescent="0.15">
      <c r="A4912" s="250"/>
      <c r="B4912" s="23" t="s">
        <v>73</v>
      </c>
      <c r="C4912" s="22">
        <v>16</v>
      </c>
      <c r="D4912" s="21">
        <v>500800</v>
      </c>
      <c r="E4912" s="21">
        <v>200</v>
      </c>
      <c r="F4912" s="20">
        <v>195800</v>
      </c>
      <c r="G4912" s="20">
        <v>302700</v>
      </c>
      <c r="H4912" s="19">
        <v>2100</v>
      </c>
    </row>
    <row r="4913" spans="1:8" ht="18" customHeight="1" x14ac:dyDescent="0.15">
      <c r="A4913" s="250"/>
      <c r="B4913" s="23" t="s">
        <v>72</v>
      </c>
      <c r="C4913" s="22">
        <v>0</v>
      </c>
      <c r="D4913" s="21">
        <v>0</v>
      </c>
      <c r="E4913" s="21">
        <v>0</v>
      </c>
      <c r="F4913" s="20">
        <v>0</v>
      </c>
      <c r="G4913" s="20">
        <v>0</v>
      </c>
      <c r="H4913" s="19">
        <v>0</v>
      </c>
    </row>
    <row r="4914" spans="1:8" ht="18" customHeight="1" x14ac:dyDescent="0.15">
      <c r="A4914" s="251"/>
      <c r="B4914" s="23" t="s">
        <v>71</v>
      </c>
      <c r="C4914" s="22">
        <v>14</v>
      </c>
      <c r="D4914" s="21">
        <v>9075</v>
      </c>
      <c r="E4914" s="21">
        <v>2905</v>
      </c>
      <c r="F4914" s="20">
        <v>0</v>
      </c>
      <c r="G4914" s="20">
        <v>5670</v>
      </c>
      <c r="H4914" s="19">
        <v>500</v>
      </c>
    </row>
    <row r="4915" spans="1:8" ht="18" customHeight="1" x14ac:dyDescent="0.15">
      <c r="A4915" s="18" t="s">
        <v>70</v>
      </c>
      <c r="B4915" s="17" t="s">
        <v>69</v>
      </c>
      <c r="C4915" s="16">
        <v>3886</v>
      </c>
      <c r="D4915" s="15">
        <v>15341434</v>
      </c>
      <c r="E4915" s="15">
        <v>1348260</v>
      </c>
      <c r="F4915" s="14">
        <v>5117141</v>
      </c>
      <c r="G4915" s="14">
        <v>6421333</v>
      </c>
      <c r="H4915" s="13">
        <v>2454700</v>
      </c>
    </row>
    <row r="4916" spans="1:8" ht="18" customHeight="1" x14ac:dyDescent="0.15">
      <c r="A4916" s="252" t="s">
        <v>68</v>
      </c>
      <c r="B4916" s="12" t="s">
        <v>67</v>
      </c>
      <c r="C4916" s="11">
        <v>5118</v>
      </c>
      <c r="D4916" s="10">
        <v>76000408</v>
      </c>
      <c r="E4916" s="10">
        <v>45817141</v>
      </c>
      <c r="F4916" s="9">
        <v>13980919</v>
      </c>
      <c r="G4916" s="9">
        <v>10561099</v>
      </c>
      <c r="H4916" s="8">
        <v>5641249</v>
      </c>
    </row>
    <row r="4917" spans="1:8" ht="18" customHeight="1" thickBot="1" x14ac:dyDescent="0.2">
      <c r="A4917" s="253"/>
      <c r="B4917" s="7" t="s">
        <v>66</v>
      </c>
      <c r="C4917" s="6">
        <v>3146</v>
      </c>
      <c r="D4917" s="5" t="s">
        <v>65</v>
      </c>
      <c r="E4917" s="5" t="s">
        <v>65</v>
      </c>
      <c r="F4917" s="5" t="s">
        <v>65</v>
      </c>
      <c r="G4917" s="5" t="s">
        <v>65</v>
      </c>
      <c r="H4917" s="4" t="s">
        <v>65</v>
      </c>
    </row>
    <row r="4918" spans="1:8" ht="18" customHeight="1" x14ac:dyDescent="0.15">
      <c r="A4918" s="3" t="s">
        <v>112</v>
      </c>
      <c r="B4918" s="2"/>
      <c r="C4918" s="2"/>
      <c r="D4918" s="2"/>
      <c r="E4918" s="2"/>
      <c r="F4918" s="2"/>
      <c r="G4918" s="2"/>
      <c r="H4918" s="2"/>
    </row>
    <row r="4919" spans="1:8" ht="18" customHeight="1" x14ac:dyDescent="0.15">
      <c r="A4919" s="230" t="s">
        <v>111</v>
      </c>
      <c r="B4919" s="230"/>
      <c r="C4919" s="230"/>
      <c r="D4919" s="230"/>
      <c r="E4919" s="230"/>
      <c r="F4919" s="230"/>
      <c r="G4919" s="230"/>
      <c r="H4919" s="230"/>
    </row>
    <row r="4920" spans="1:8" ht="18" customHeight="1" x14ac:dyDescent="0.15">
      <c r="A4920" s="231"/>
      <c r="B4920" s="231"/>
      <c r="C4920" s="231"/>
      <c r="D4920" s="231"/>
      <c r="E4920" s="231"/>
      <c r="F4920" s="231"/>
      <c r="G4920" s="231"/>
      <c r="H4920" s="231"/>
    </row>
    <row r="4921" spans="1:8" ht="18" customHeight="1" thickBot="1" x14ac:dyDescent="0.2">
      <c r="A4921" s="58" t="s">
        <v>62</v>
      </c>
    </row>
    <row r="4922" spans="1:8" ht="18" customHeight="1" x14ac:dyDescent="0.15">
      <c r="A4922" s="232" t="s">
        <v>61</v>
      </c>
      <c r="B4922" s="235" t="s">
        <v>110</v>
      </c>
      <c r="C4922" s="238" t="s">
        <v>109</v>
      </c>
      <c r="D4922" s="241" t="s">
        <v>108</v>
      </c>
      <c r="E4922" s="57"/>
      <c r="F4922" s="56"/>
      <c r="G4922" s="56"/>
      <c r="H4922" s="55"/>
    </row>
    <row r="4923" spans="1:8" ht="18" customHeight="1" x14ac:dyDescent="0.15">
      <c r="A4923" s="233"/>
      <c r="B4923" s="236"/>
      <c r="C4923" s="239"/>
      <c r="D4923" s="242"/>
      <c r="E4923" s="244" t="s">
        <v>107</v>
      </c>
      <c r="F4923" s="254" t="s">
        <v>106</v>
      </c>
      <c r="G4923" s="254" t="s">
        <v>105</v>
      </c>
      <c r="H4923" s="256" t="s">
        <v>104</v>
      </c>
    </row>
    <row r="4924" spans="1:8" ht="18" customHeight="1" thickBot="1" x14ac:dyDescent="0.2">
      <c r="A4924" s="234"/>
      <c r="B4924" s="237"/>
      <c r="C4924" s="240"/>
      <c r="D4924" s="243"/>
      <c r="E4924" s="245"/>
      <c r="F4924" s="255"/>
      <c r="G4924" s="255"/>
      <c r="H4924" s="257"/>
    </row>
    <row r="4925" spans="1:8" ht="18" customHeight="1" thickTop="1" x14ac:dyDescent="0.15">
      <c r="A4925" s="54"/>
      <c r="B4925" s="53"/>
      <c r="C4925" s="52"/>
      <c r="D4925" s="51" t="s">
        <v>103</v>
      </c>
      <c r="E4925" s="50" t="s">
        <v>103</v>
      </c>
      <c r="F4925" s="49" t="s">
        <v>103</v>
      </c>
      <c r="G4925" s="49" t="s">
        <v>103</v>
      </c>
      <c r="H4925" s="48" t="s">
        <v>103</v>
      </c>
    </row>
    <row r="4926" spans="1:8" ht="18" customHeight="1" x14ac:dyDescent="0.15">
      <c r="A4926" s="250" t="s">
        <v>102</v>
      </c>
      <c r="B4926" s="47" t="s">
        <v>101</v>
      </c>
      <c r="C4926" s="46">
        <v>3560</v>
      </c>
      <c r="D4926" s="45">
        <v>474150581</v>
      </c>
      <c r="E4926" s="45">
        <v>183278680</v>
      </c>
      <c r="F4926" s="44">
        <v>145530169</v>
      </c>
      <c r="G4926" s="44">
        <v>138863046</v>
      </c>
      <c r="H4926" s="43">
        <v>6478685</v>
      </c>
    </row>
    <row r="4927" spans="1:8" ht="18" customHeight="1" x14ac:dyDescent="0.15">
      <c r="A4927" s="250"/>
      <c r="B4927" s="41" t="s">
        <v>100</v>
      </c>
      <c r="C4927" s="39">
        <v>19</v>
      </c>
      <c r="D4927" s="38">
        <v>140417</v>
      </c>
      <c r="E4927" s="38">
        <v>61682</v>
      </c>
      <c r="F4927" s="37">
        <v>60189</v>
      </c>
      <c r="G4927" s="37">
        <v>18546</v>
      </c>
      <c r="H4927" s="36">
        <v>0</v>
      </c>
    </row>
    <row r="4928" spans="1:8" ht="18" customHeight="1" x14ac:dyDescent="0.15">
      <c r="A4928" s="250"/>
      <c r="B4928" s="41" t="s">
        <v>99</v>
      </c>
      <c r="C4928" s="39">
        <v>22</v>
      </c>
      <c r="D4928" s="38">
        <v>75</v>
      </c>
      <c r="E4928" s="38">
        <v>75</v>
      </c>
      <c r="F4928" s="59">
        <v>0</v>
      </c>
      <c r="G4928" s="59">
        <v>0</v>
      </c>
      <c r="H4928" s="36">
        <v>0</v>
      </c>
    </row>
    <row r="4929" spans="1:8" ht="18" customHeight="1" x14ac:dyDescent="0.15">
      <c r="A4929" s="250"/>
      <c r="B4929" s="42" t="s">
        <v>98</v>
      </c>
      <c r="C4929" s="34">
        <v>1</v>
      </c>
      <c r="D4929" s="33">
        <v>139519</v>
      </c>
      <c r="E4929" s="33">
        <v>107403</v>
      </c>
      <c r="F4929" s="32">
        <v>5184</v>
      </c>
      <c r="G4929" s="32">
        <v>24781</v>
      </c>
      <c r="H4929" s="31">
        <v>2151</v>
      </c>
    </row>
    <row r="4930" spans="1:8" ht="18" customHeight="1" x14ac:dyDescent="0.15">
      <c r="A4930" s="250"/>
      <c r="B4930" s="41" t="s">
        <v>97</v>
      </c>
      <c r="C4930" s="39">
        <v>48</v>
      </c>
      <c r="D4930" s="38">
        <v>8475179</v>
      </c>
      <c r="E4930" s="38">
        <v>2544557</v>
      </c>
      <c r="F4930" s="37">
        <v>1949740</v>
      </c>
      <c r="G4930" s="37">
        <v>3951399</v>
      </c>
      <c r="H4930" s="36">
        <v>29482</v>
      </c>
    </row>
    <row r="4931" spans="1:8" ht="18" customHeight="1" x14ac:dyDescent="0.15">
      <c r="A4931" s="250"/>
      <c r="B4931" s="40" t="s">
        <v>96</v>
      </c>
      <c r="C4931" s="39">
        <v>119</v>
      </c>
      <c r="D4931" s="38">
        <v>9147658</v>
      </c>
      <c r="E4931" s="38">
        <v>2678460</v>
      </c>
      <c r="F4931" s="37">
        <v>1031182</v>
      </c>
      <c r="G4931" s="37">
        <v>5409267</v>
      </c>
      <c r="H4931" s="36">
        <v>28747</v>
      </c>
    </row>
    <row r="4932" spans="1:8" ht="18" customHeight="1" x14ac:dyDescent="0.15">
      <c r="A4932" s="251"/>
      <c r="B4932" s="35" t="s">
        <v>95</v>
      </c>
      <c r="C4932" s="34">
        <v>36</v>
      </c>
      <c r="D4932" s="33">
        <v>64190</v>
      </c>
      <c r="E4932" s="33">
        <v>54623</v>
      </c>
      <c r="F4932" s="32">
        <v>1900</v>
      </c>
      <c r="G4932" s="32">
        <v>7356</v>
      </c>
      <c r="H4932" s="31">
        <v>309</v>
      </c>
    </row>
    <row r="4933" spans="1:8" ht="18" customHeight="1" x14ac:dyDescent="0.15">
      <c r="A4933" s="30" t="s">
        <v>94</v>
      </c>
      <c r="B4933" s="29" t="s">
        <v>93</v>
      </c>
      <c r="C4933" s="28">
        <v>39</v>
      </c>
      <c r="D4933" s="15">
        <v>106007</v>
      </c>
      <c r="E4933" s="15">
        <v>103632</v>
      </c>
      <c r="F4933" s="14">
        <v>2275</v>
      </c>
      <c r="G4933" s="14">
        <v>0</v>
      </c>
      <c r="H4933" s="13">
        <v>98</v>
      </c>
    </row>
    <row r="4934" spans="1:8" ht="18" customHeight="1" x14ac:dyDescent="0.15">
      <c r="A4934" s="252" t="s">
        <v>92</v>
      </c>
      <c r="B4934" s="17" t="s">
        <v>91</v>
      </c>
      <c r="C4934" s="16">
        <v>2841</v>
      </c>
      <c r="D4934" s="27">
        <v>57408487</v>
      </c>
      <c r="E4934" s="27">
        <v>8841236</v>
      </c>
      <c r="F4934" s="26">
        <v>6539767</v>
      </c>
      <c r="G4934" s="26">
        <v>35496540</v>
      </c>
      <c r="H4934" s="25">
        <v>6530943</v>
      </c>
    </row>
    <row r="4935" spans="1:8" ht="18" customHeight="1" x14ac:dyDescent="0.15">
      <c r="A4935" s="250"/>
      <c r="B4935" s="23" t="s">
        <v>90</v>
      </c>
      <c r="C4935" s="22">
        <v>3225</v>
      </c>
      <c r="D4935" s="21">
        <v>15832955</v>
      </c>
      <c r="E4935" s="21">
        <v>645696</v>
      </c>
      <c r="F4935" s="20">
        <v>3042895</v>
      </c>
      <c r="G4935" s="20">
        <v>10183004</v>
      </c>
      <c r="H4935" s="19">
        <v>1961359</v>
      </c>
    </row>
    <row r="4936" spans="1:8" ht="18" customHeight="1" x14ac:dyDescent="0.15">
      <c r="A4936" s="250"/>
      <c r="B4936" s="24" t="s">
        <v>89</v>
      </c>
      <c r="C4936" s="22">
        <v>617</v>
      </c>
      <c r="D4936" s="21">
        <v>36523513</v>
      </c>
      <c r="E4936" s="21">
        <v>1988014</v>
      </c>
      <c r="F4936" s="20">
        <v>5344503</v>
      </c>
      <c r="G4936" s="20">
        <v>23680448</v>
      </c>
      <c r="H4936" s="19">
        <v>5510548</v>
      </c>
    </row>
    <row r="4937" spans="1:8" ht="18" customHeight="1" x14ac:dyDescent="0.15">
      <c r="A4937" s="250"/>
      <c r="B4937" s="23" t="s">
        <v>88</v>
      </c>
      <c r="C4937" s="22">
        <v>1261</v>
      </c>
      <c r="D4937" s="21">
        <v>40224900</v>
      </c>
      <c r="E4937" s="21">
        <v>3385668</v>
      </c>
      <c r="F4937" s="20">
        <v>6145750</v>
      </c>
      <c r="G4937" s="20">
        <v>27431732</v>
      </c>
      <c r="H4937" s="19">
        <v>3261748</v>
      </c>
    </row>
    <row r="4938" spans="1:8" ht="18" customHeight="1" x14ac:dyDescent="0.15">
      <c r="A4938" s="250"/>
      <c r="B4938" s="23" t="s">
        <v>87</v>
      </c>
      <c r="C4938" s="22">
        <v>124</v>
      </c>
      <c r="D4938" s="21">
        <v>4774349</v>
      </c>
      <c r="E4938" s="21">
        <v>62508</v>
      </c>
      <c r="F4938" s="20">
        <v>189507</v>
      </c>
      <c r="G4938" s="20">
        <v>4430010</v>
      </c>
      <c r="H4938" s="19">
        <v>92321</v>
      </c>
    </row>
    <row r="4939" spans="1:8" ht="18" customHeight="1" x14ac:dyDescent="0.15">
      <c r="A4939" s="250"/>
      <c r="B4939" s="23" t="s">
        <v>86</v>
      </c>
      <c r="C4939" s="22">
        <v>86</v>
      </c>
      <c r="D4939" s="21">
        <v>933600</v>
      </c>
      <c r="E4939" s="21">
        <v>194020</v>
      </c>
      <c r="F4939" s="20">
        <v>48650</v>
      </c>
      <c r="G4939" s="20">
        <v>483320</v>
      </c>
      <c r="H4939" s="19">
        <v>207610</v>
      </c>
    </row>
    <row r="4940" spans="1:8" ht="18" customHeight="1" x14ac:dyDescent="0.15">
      <c r="A4940" s="250"/>
      <c r="B4940" s="23" t="s">
        <v>85</v>
      </c>
      <c r="C4940" s="22">
        <v>38</v>
      </c>
      <c r="D4940" s="21">
        <v>330906</v>
      </c>
      <c r="E4940" s="21">
        <v>123315</v>
      </c>
      <c r="F4940" s="20">
        <v>24266</v>
      </c>
      <c r="G4940" s="20">
        <v>126623</v>
      </c>
      <c r="H4940" s="19">
        <v>56701</v>
      </c>
    </row>
    <row r="4941" spans="1:8" ht="18" customHeight="1" x14ac:dyDescent="0.15">
      <c r="A4941" s="250"/>
      <c r="B4941" s="23" t="s">
        <v>84</v>
      </c>
      <c r="C4941" s="22">
        <v>0</v>
      </c>
      <c r="D4941" s="21">
        <v>0</v>
      </c>
      <c r="E4941" s="21">
        <v>0</v>
      </c>
      <c r="F4941" s="20">
        <v>0</v>
      </c>
      <c r="G4941" s="20">
        <v>0</v>
      </c>
      <c r="H4941" s="19">
        <v>0</v>
      </c>
    </row>
    <row r="4942" spans="1:8" ht="18" customHeight="1" x14ac:dyDescent="0.15">
      <c r="A4942" s="250"/>
      <c r="B4942" s="23" t="s">
        <v>83</v>
      </c>
      <c r="C4942" s="22">
        <v>264</v>
      </c>
      <c r="D4942" s="21">
        <v>11808040</v>
      </c>
      <c r="E4942" s="21">
        <v>904650</v>
      </c>
      <c r="F4942" s="20">
        <v>3714020</v>
      </c>
      <c r="G4942" s="20">
        <v>3805520</v>
      </c>
      <c r="H4942" s="19">
        <v>3383850</v>
      </c>
    </row>
    <row r="4943" spans="1:8" ht="18" customHeight="1" x14ac:dyDescent="0.15">
      <c r="A4943" s="250"/>
      <c r="B4943" s="23" t="s">
        <v>82</v>
      </c>
      <c r="C4943" s="22">
        <v>2848</v>
      </c>
      <c r="D4943" s="21">
        <v>59936911</v>
      </c>
      <c r="E4943" s="21">
        <v>10567412</v>
      </c>
      <c r="F4943" s="20">
        <v>7888724</v>
      </c>
      <c r="G4943" s="20">
        <v>35050422</v>
      </c>
      <c r="H4943" s="19">
        <v>6430351</v>
      </c>
    </row>
    <row r="4944" spans="1:8" ht="18" customHeight="1" x14ac:dyDescent="0.15">
      <c r="A4944" s="250"/>
      <c r="B4944" s="23" t="s">
        <v>81</v>
      </c>
      <c r="C4944" s="22">
        <v>560</v>
      </c>
      <c r="D4944" s="21">
        <v>15873284</v>
      </c>
      <c r="E4944" s="21">
        <v>1974154</v>
      </c>
      <c r="F4944" s="20">
        <v>1518099</v>
      </c>
      <c r="G4944" s="20">
        <v>11266957</v>
      </c>
      <c r="H4944" s="19">
        <v>1114072</v>
      </c>
    </row>
    <row r="4945" spans="1:8" ht="18" customHeight="1" x14ac:dyDescent="0.15">
      <c r="A4945" s="250"/>
      <c r="B4945" s="23" t="s">
        <v>80</v>
      </c>
      <c r="C4945" s="22">
        <v>42825</v>
      </c>
      <c r="D4945" s="21">
        <v>11045527</v>
      </c>
      <c r="E4945" s="21">
        <v>289806</v>
      </c>
      <c r="F4945" s="20">
        <v>6599845</v>
      </c>
      <c r="G4945" s="20">
        <v>3959030</v>
      </c>
      <c r="H4945" s="19">
        <v>196845</v>
      </c>
    </row>
    <row r="4946" spans="1:8" ht="18" customHeight="1" x14ac:dyDescent="0.15">
      <c r="A4946" s="250"/>
      <c r="B4946" s="23" t="s">
        <v>79</v>
      </c>
      <c r="C4946" s="22">
        <v>110</v>
      </c>
      <c r="D4946" s="21">
        <v>1338745</v>
      </c>
      <c r="E4946" s="21">
        <v>10861</v>
      </c>
      <c r="F4946" s="20">
        <v>1022135</v>
      </c>
      <c r="G4946" s="20">
        <v>298949</v>
      </c>
      <c r="H4946" s="19">
        <v>6800</v>
      </c>
    </row>
    <row r="4947" spans="1:8" ht="18" customHeight="1" x14ac:dyDescent="0.15">
      <c r="A4947" s="250"/>
      <c r="B4947" s="23" t="s">
        <v>78</v>
      </c>
      <c r="C4947" s="22">
        <v>39</v>
      </c>
      <c r="D4947" s="21">
        <v>752800</v>
      </c>
      <c r="E4947" s="21">
        <v>123455</v>
      </c>
      <c r="F4947" s="20">
        <v>115900</v>
      </c>
      <c r="G4947" s="20">
        <v>419845</v>
      </c>
      <c r="H4947" s="19">
        <v>93600</v>
      </c>
    </row>
    <row r="4948" spans="1:8" ht="18" customHeight="1" x14ac:dyDescent="0.15">
      <c r="A4948" s="250"/>
      <c r="B4948" s="23" t="s">
        <v>77</v>
      </c>
      <c r="C4948" s="22">
        <v>455</v>
      </c>
      <c r="D4948" s="21">
        <v>1994673</v>
      </c>
      <c r="E4948" s="21">
        <v>388248</v>
      </c>
      <c r="F4948" s="20">
        <v>953989</v>
      </c>
      <c r="G4948" s="20">
        <v>591135</v>
      </c>
      <c r="H4948" s="19">
        <v>61300</v>
      </c>
    </row>
    <row r="4949" spans="1:8" ht="18" customHeight="1" x14ac:dyDescent="0.15">
      <c r="A4949" s="250"/>
      <c r="B4949" s="23" t="s">
        <v>76</v>
      </c>
      <c r="C4949" s="22">
        <v>352</v>
      </c>
      <c r="D4949" s="21">
        <v>9485556</v>
      </c>
      <c r="E4949" s="21">
        <v>1087974</v>
      </c>
      <c r="F4949" s="20">
        <v>2010071</v>
      </c>
      <c r="G4949" s="20">
        <v>5716822</v>
      </c>
      <c r="H4949" s="19">
        <v>670687</v>
      </c>
    </row>
    <row r="4950" spans="1:8" ht="18" customHeight="1" x14ac:dyDescent="0.15">
      <c r="A4950" s="250"/>
      <c r="B4950" s="23" t="s">
        <v>75</v>
      </c>
      <c r="C4950" s="22">
        <v>41</v>
      </c>
      <c r="D4950" s="21">
        <v>1579800</v>
      </c>
      <c r="E4950" s="21">
        <v>113200</v>
      </c>
      <c r="F4950" s="20">
        <v>640100</v>
      </c>
      <c r="G4950" s="20">
        <v>721500</v>
      </c>
      <c r="H4950" s="19">
        <v>105000</v>
      </c>
    </row>
    <row r="4951" spans="1:8" ht="18" customHeight="1" x14ac:dyDescent="0.15">
      <c r="A4951" s="250"/>
      <c r="B4951" s="23" t="s">
        <v>74</v>
      </c>
      <c r="C4951" s="22">
        <v>0</v>
      </c>
      <c r="D4951" s="21">
        <v>0</v>
      </c>
      <c r="E4951" s="21">
        <v>0</v>
      </c>
      <c r="F4951" s="20">
        <v>0</v>
      </c>
      <c r="G4951" s="20">
        <v>0</v>
      </c>
      <c r="H4951" s="19">
        <v>0</v>
      </c>
    </row>
    <row r="4952" spans="1:8" ht="18" customHeight="1" x14ac:dyDescent="0.15">
      <c r="A4952" s="250"/>
      <c r="B4952" s="23" t="s">
        <v>73</v>
      </c>
      <c r="C4952" s="22">
        <v>16</v>
      </c>
      <c r="D4952" s="21">
        <v>500800</v>
      </c>
      <c r="E4952" s="21">
        <v>200</v>
      </c>
      <c r="F4952" s="20">
        <v>195800</v>
      </c>
      <c r="G4952" s="20">
        <v>302700</v>
      </c>
      <c r="H4952" s="19">
        <v>2100</v>
      </c>
    </row>
    <row r="4953" spans="1:8" ht="18" customHeight="1" x14ac:dyDescent="0.15">
      <c r="A4953" s="250"/>
      <c r="B4953" s="23" t="s">
        <v>72</v>
      </c>
      <c r="C4953" s="22">
        <v>0</v>
      </c>
      <c r="D4953" s="21">
        <v>0</v>
      </c>
      <c r="E4953" s="21">
        <v>0</v>
      </c>
      <c r="F4953" s="20">
        <v>0</v>
      </c>
      <c r="G4953" s="20">
        <v>0</v>
      </c>
      <c r="H4953" s="19">
        <v>0</v>
      </c>
    </row>
    <row r="4954" spans="1:8" ht="18" customHeight="1" x14ac:dyDescent="0.15">
      <c r="A4954" s="251"/>
      <c r="B4954" s="23" t="s">
        <v>71</v>
      </c>
      <c r="C4954" s="22">
        <v>14</v>
      </c>
      <c r="D4954" s="21">
        <v>9075</v>
      </c>
      <c r="E4954" s="21">
        <v>2905</v>
      </c>
      <c r="F4954" s="20">
        <v>0</v>
      </c>
      <c r="G4954" s="20">
        <v>5670</v>
      </c>
      <c r="H4954" s="19">
        <v>500</v>
      </c>
    </row>
    <row r="4955" spans="1:8" ht="18" customHeight="1" x14ac:dyDescent="0.15">
      <c r="A4955" s="18" t="s">
        <v>70</v>
      </c>
      <c r="B4955" s="17" t="s">
        <v>69</v>
      </c>
      <c r="C4955" s="16">
        <v>3762</v>
      </c>
      <c r="D4955" s="15">
        <v>13987996</v>
      </c>
      <c r="E4955" s="15">
        <v>1177280</v>
      </c>
      <c r="F4955" s="14">
        <v>5144687</v>
      </c>
      <c r="G4955" s="14">
        <v>5975439</v>
      </c>
      <c r="H4955" s="13">
        <v>1690590</v>
      </c>
    </row>
    <row r="4956" spans="1:8" ht="18" customHeight="1" x14ac:dyDescent="0.15">
      <c r="A4956" s="252" t="s">
        <v>68</v>
      </c>
      <c r="B4956" s="12" t="s">
        <v>67</v>
      </c>
      <c r="C4956" s="11">
        <v>5071</v>
      </c>
      <c r="D4956" s="10">
        <v>74770402</v>
      </c>
      <c r="E4956" s="10">
        <v>45057887</v>
      </c>
      <c r="F4956" s="9">
        <v>13805581</v>
      </c>
      <c r="G4956" s="9">
        <v>10378078</v>
      </c>
      <c r="H4956" s="8">
        <v>5528855</v>
      </c>
    </row>
    <row r="4957" spans="1:8" ht="18" customHeight="1" thickBot="1" x14ac:dyDescent="0.2">
      <c r="A4957" s="253"/>
      <c r="B4957" s="7" t="s">
        <v>66</v>
      </c>
      <c r="C4957" s="6">
        <v>3104</v>
      </c>
      <c r="D4957" s="5" t="s">
        <v>65</v>
      </c>
      <c r="E4957" s="5" t="s">
        <v>65</v>
      </c>
      <c r="F4957" s="5" t="s">
        <v>65</v>
      </c>
      <c r="G4957" s="5" t="s">
        <v>65</v>
      </c>
      <c r="H4957" s="4" t="s">
        <v>65</v>
      </c>
    </row>
    <row r="4958" spans="1:8" ht="18" customHeight="1" x14ac:dyDescent="0.15">
      <c r="A4958" s="3" t="s">
        <v>64</v>
      </c>
      <c r="B4958" s="2"/>
      <c r="C4958" s="2"/>
      <c r="D4958" s="2"/>
      <c r="E4958" s="2"/>
      <c r="F4958" s="2"/>
      <c r="G4958" s="2"/>
      <c r="H4958" s="2"/>
    </row>
    <row r="4959" spans="1:8" ht="18" customHeight="1" x14ac:dyDescent="0.15">
      <c r="A4959" s="230" t="s">
        <v>63</v>
      </c>
      <c r="B4959" s="230"/>
      <c r="C4959" s="230"/>
      <c r="D4959" s="230"/>
      <c r="E4959" s="230"/>
      <c r="F4959" s="230"/>
      <c r="G4959" s="230"/>
      <c r="H4959" s="230"/>
    </row>
    <row r="4960" spans="1:8" ht="18" customHeight="1" x14ac:dyDescent="0.15">
      <c r="A4960" s="231"/>
      <c r="B4960" s="231"/>
      <c r="C4960" s="231"/>
      <c r="D4960" s="231"/>
      <c r="E4960" s="231"/>
      <c r="F4960" s="231"/>
      <c r="G4960" s="231"/>
      <c r="H4960" s="231"/>
    </row>
    <row r="4961" spans="1:8" ht="18" customHeight="1" thickBot="1" x14ac:dyDescent="0.2">
      <c r="A4961" s="58" t="s">
        <v>62</v>
      </c>
    </row>
    <row r="4962" spans="1:8" ht="18" customHeight="1" x14ac:dyDescent="0.15">
      <c r="A4962" s="232" t="s">
        <v>61</v>
      </c>
      <c r="B4962" s="235" t="s">
        <v>60</v>
      </c>
      <c r="C4962" s="238" t="s">
        <v>59</v>
      </c>
      <c r="D4962" s="241" t="s">
        <v>44</v>
      </c>
      <c r="E4962" s="57"/>
      <c r="F4962" s="56"/>
      <c r="G4962" s="56"/>
      <c r="H4962" s="55"/>
    </row>
    <row r="4963" spans="1:8" ht="18" customHeight="1" x14ac:dyDescent="0.15">
      <c r="A4963" s="233"/>
      <c r="B4963" s="236"/>
      <c r="C4963" s="239"/>
      <c r="D4963" s="242"/>
      <c r="E4963" s="244" t="s">
        <v>43</v>
      </c>
      <c r="F4963" s="254" t="s">
        <v>42</v>
      </c>
      <c r="G4963" s="254" t="s">
        <v>41</v>
      </c>
      <c r="H4963" s="256" t="s">
        <v>40</v>
      </c>
    </row>
    <row r="4964" spans="1:8" ht="18" customHeight="1" thickBot="1" x14ac:dyDescent="0.2">
      <c r="A4964" s="234"/>
      <c r="B4964" s="237"/>
      <c r="C4964" s="240"/>
      <c r="D4964" s="243"/>
      <c r="E4964" s="245"/>
      <c r="F4964" s="255"/>
      <c r="G4964" s="255"/>
      <c r="H4964" s="257"/>
    </row>
    <row r="4965" spans="1:8" ht="18" customHeight="1" thickTop="1" x14ac:dyDescent="0.15">
      <c r="A4965" s="54"/>
      <c r="B4965" s="53"/>
      <c r="C4965" s="52"/>
      <c r="D4965" s="51" t="s">
        <v>39</v>
      </c>
      <c r="E4965" s="50" t="s">
        <v>39</v>
      </c>
      <c r="F4965" s="49" t="s">
        <v>39</v>
      </c>
      <c r="G4965" s="49" t="s">
        <v>39</v>
      </c>
      <c r="H4965" s="48" t="s">
        <v>39</v>
      </c>
    </row>
    <row r="4966" spans="1:8" ht="18" customHeight="1" x14ac:dyDescent="0.15">
      <c r="A4966" s="250" t="s">
        <v>38</v>
      </c>
      <c r="B4966" s="47" t="s">
        <v>37</v>
      </c>
      <c r="C4966" s="46">
        <v>3552</v>
      </c>
      <c r="D4966" s="45">
        <v>450668748</v>
      </c>
      <c r="E4966" s="45">
        <v>173922975</v>
      </c>
      <c r="F4966" s="44">
        <v>138156519</v>
      </c>
      <c r="G4966" s="44">
        <v>132358006</v>
      </c>
      <c r="H4966" s="43">
        <v>6231247</v>
      </c>
    </row>
    <row r="4967" spans="1:8" ht="18" customHeight="1" x14ac:dyDescent="0.15">
      <c r="A4967" s="250"/>
      <c r="B4967" s="41" t="s">
        <v>36</v>
      </c>
      <c r="C4967" s="39">
        <v>19</v>
      </c>
      <c r="D4967" s="38">
        <v>138723</v>
      </c>
      <c r="E4967" s="38">
        <v>64219</v>
      </c>
      <c r="F4967" s="37">
        <v>56059</v>
      </c>
      <c r="G4967" s="37">
        <v>18445</v>
      </c>
      <c r="H4967" s="36">
        <v>0</v>
      </c>
    </row>
    <row r="4968" spans="1:8" ht="18" customHeight="1" x14ac:dyDescent="0.15">
      <c r="A4968" s="250"/>
      <c r="B4968" s="41" t="s">
        <v>35</v>
      </c>
      <c r="C4968" s="39">
        <v>23</v>
      </c>
      <c r="D4968" s="38">
        <v>128</v>
      </c>
      <c r="E4968" s="38">
        <v>118</v>
      </c>
      <c r="F4968" s="59">
        <v>0</v>
      </c>
      <c r="G4968" s="37">
        <v>2</v>
      </c>
      <c r="H4968" s="36">
        <v>7</v>
      </c>
    </row>
    <row r="4969" spans="1:8" ht="18" customHeight="1" x14ac:dyDescent="0.15">
      <c r="A4969" s="250"/>
      <c r="B4969" s="42" t="s">
        <v>34</v>
      </c>
      <c r="C4969" s="34">
        <v>1</v>
      </c>
      <c r="D4969" s="33">
        <v>133995</v>
      </c>
      <c r="E4969" s="33">
        <v>103146</v>
      </c>
      <c r="F4969" s="32">
        <v>4981</v>
      </c>
      <c r="G4969" s="32">
        <v>23810</v>
      </c>
      <c r="H4969" s="31">
        <v>2056</v>
      </c>
    </row>
    <row r="4970" spans="1:8" ht="18" customHeight="1" x14ac:dyDescent="0.15">
      <c r="A4970" s="250"/>
      <c r="B4970" s="41" t="s">
        <v>33</v>
      </c>
      <c r="C4970" s="39">
        <v>48</v>
      </c>
      <c r="D4970" s="38">
        <v>8226365</v>
      </c>
      <c r="E4970" s="38">
        <v>2441083</v>
      </c>
      <c r="F4970" s="37">
        <v>1887889</v>
      </c>
      <c r="G4970" s="37">
        <v>3878931</v>
      </c>
      <c r="H4970" s="36">
        <v>18461</v>
      </c>
    </row>
    <row r="4971" spans="1:8" ht="18" customHeight="1" x14ac:dyDescent="0.15">
      <c r="A4971" s="250"/>
      <c r="B4971" s="40" t="s">
        <v>32</v>
      </c>
      <c r="C4971" s="39">
        <v>119</v>
      </c>
      <c r="D4971" s="38">
        <v>8796452</v>
      </c>
      <c r="E4971" s="38">
        <v>2684760</v>
      </c>
      <c r="F4971" s="37">
        <v>1035807</v>
      </c>
      <c r="G4971" s="37">
        <v>5052525</v>
      </c>
      <c r="H4971" s="36">
        <v>23358</v>
      </c>
    </row>
    <row r="4972" spans="1:8" ht="18" customHeight="1" x14ac:dyDescent="0.15">
      <c r="A4972" s="251"/>
      <c r="B4972" s="35" t="s">
        <v>31</v>
      </c>
      <c r="C4972" s="34">
        <v>36</v>
      </c>
      <c r="D4972" s="33">
        <v>60117</v>
      </c>
      <c r="E4972" s="33">
        <v>51389</v>
      </c>
      <c r="F4972" s="32">
        <v>1684</v>
      </c>
      <c r="G4972" s="32">
        <v>6789</v>
      </c>
      <c r="H4972" s="31">
        <v>252</v>
      </c>
    </row>
    <row r="4973" spans="1:8" ht="18" customHeight="1" x14ac:dyDescent="0.15">
      <c r="A4973" s="30" t="s">
        <v>30</v>
      </c>
      <c r="B4973" s="29" t="s">
        <v>29</v>
      </c>
      <c r="C4973" s="28">
        <v>39</v>
      </c>
      <c r="D4973" s="15">
        <v>101309</v>
      </c>
      <c r="E4973" s="15">
        <v>99262</v>
      </c>
      <c r="F4973" s="14">
        <v>1945</v>
      </c>
      <c r="G4973" s="14">
        <v>0</v>
      </c>
      <c r="H4973" s="13">
        <v>101</v>
      </c>
    </row>
    <row r="4974" spans="1:8" ht="18" customHeight="1" x14ac:dyDescent="0.15">
      <c r="A4974" s="252" t="s">
        <v>28</v>
      </c>
      <c r="B4974" s="17" t="s">
        <v>27</v>
      </c>
      <c r="C4974" s="16">
        <v>2836</v>
      </c>
      <c r="D4974" s="27">
        <v>57482164</v>
      </c>
      <c r="E4974" s="27">
        <v>8842373</v>
      </c>
      <c r="F4974" s="26">
        <v>6544753</v>
      </c>
      <c r="G4974" s="26">
        <v>35591615</v>
      </c>
      <c r="H4974" s="25">
        <v>6503422</v>
      </c>
    </row>
    <row r="4975" spans="1:8" ht="18" customHeight="1" x14ac:dyDescent="0.15">
      <c r="A4975" s="250"/>
      <c r="B4975" s="23" t="s">
        <v>26</v>
      </c>
      <c r="C4975" s="22">
        <v>3214</v>
      </c>
      <c r="D4975" s="21">
        <v>15790596</v>
      </c>
      <c r="E4975" s="21">
        <v>648347</v>
      </c>
      <c r="F4975" s="20">
        <v>3025885</v>
      </c>
      <c r="G4975" s="20">
        <v>10170804</v>
      </c>
      <c r="H4975" s="19">
        <v>1945558</v>
      </c>
    </row>
    <row r="4976" spans="1:8" ht="18" customHeight="1" x14ac:dyDescent="0.15">
      <c r="A4976" s="250"/>
      <c r="B4976" s="24" t="s">
        <v>25</v>
      </c>
      <c r="C4976" s="22">
        <v>616</v>
      </c>
      <c r="D4976" s="21">
        <v>36453913</v>
      </c>
      <c r="E4976" s="21">
        <v>2026253</v>
      </c>
      <c r="F4976" s="20">
        <v>5175183</v>
      </c>
      <c r="G4976" s="20">
        <v>23738821</v>
      </c>
      <c r="H4976" s="19">
        <v>5513654</v>
      </c>
    </row>
    <row r="4977" spans="1:8" ht="18" customHeight="1" x14ac:dyDescent="0.15">
      <c r="A4977" s="250"/>
      <c r="B4977" s="23" t="s">
        <v>24</v>
      </c>
      <c r="C4977" s="22">
        <v>1257</v>
      </c>
      <c r="D4977" s="21">
        <v>40160200</v>
      </c>
      <c r="E4977" s="21">
        <v>3409834</v>
      </c>
      <c r="F4977" s="20">
        <v>6154890</v>
      </c>
      <c r="G4977" s="20">
        <v>27346157</v>
      </c>
      <c r="H4977" s="19">
        <v>3249318</v>
      </c>
    </row>
    <row r="4978" spans="1:8" ht="18" customHeight="1" x14ac:dyDescent="0.15">
      <c r="A4978" s="250"/>
      <c r="B4978" s="23" t="s">
        <v>23</v>
      </c>
      <c r="C4978" s="22">
        <v>126</v>
      </c>
      <c r="D4978" s="21">
        <v>4884749</v>
      </c>
      <c r="E4978" s="21">
        <v>64564</v>
      </c>
      <c r="F4978" s="20">
        <v>200141</v>
      </c>
      <c r="G4978" s="20">
        <v>4516132</v>
      </c>
      <c r="H4978" s="19">
        <v>103912</v>
      </c>
    </row>
    <row r="4979" spans="1:8" ht="18" customHeight="1" x14ac:dyDescent="0.15">
      <c r="A4979" s="250"/>
      <c r="B4979" s="23" t="s">
        <v>22</v>
      </c>
      <c r="C4979" s="22">
        <v>86</v>
      </c>
      <c r="D4979" s="21">
        <v>933600</v>
      </c>
      <c r="E4979" s="21">
        <v>194420</v>
      </c>
      <c r="F4979" s="20">
        <v>48650</v>
      </c>
      <c r="G4979" s="20">
        <v>483720</v>
      </c>
      <c r="H4979" s="19">
        <v>206810</v>
      </c>
    </row>
    <row r="4980" spans="1:8" ht="18" customHeight="1" x14ac:dyDescent="0.15">
      <c r="A4980" s="250"/>
      <c r="B4980" s="23" t="s">
        <v>21</v>
      </c>
      <c r="C4980" s="22">
        <v>38</v>
      </c>
      <c r="D4980" s="21">
        <v>330906</v>
      </c>
      <c r="E4980" s="21">
        <v>123815</v>
      </c>
      <c r="F4980" s="20">
        <v>24266</v>
      </c>
      <c r="G4980" s="20">
        <v>126473</v>
      </c>
      <c r="H4980" s="19">
        <v>56351</v>
      </c>
    </row>
    <row r="4981" spans="1:8" ht="18" customHeight="1" x14ac:dyDescent="0.15">
      <c r="A4981" s="250"/>
      <c r="B4981" s="23" t="s">
        <v>20</v>
      </c>
      <c r="C4981" s="22">
        <v>0</v>
      </c>
      <c r="D4981" s="21">
        <v>0</v>
      </c>
      <c r="E4981" s="21">
        <v>0</v>
      </c>
      <c r="F4981" s="20">
        <v>0</v>
      </c>
      <c r="G4981" s="20">
        <v>0</v>
      </c>
      <c r="H4981" s="19">
        <v>0</v>
      </c>
    </row>
    <row r="4982" spans="1:8" ht="18" customHeight="1" x14ac:dyDescent="0.15">
      <c r="A4982" s="250"/>
      <c r="B4982" s="23" t="s">
        <v>19</v>
      </c>
      <c r="C4982" s="22">
        <v>262</v>
      </c>
      <c r="D4982" s="21">
        <v>11824420</v>
      </c>
      <c r="E4982" s="21">
        <v>892230</v>
      </c>
      <c r="F4982" s="20">
        <v>3745760</v>
      </c>
      <c r="G4982" s="20">
        <v>3792770</v>
      </c>
      <c r="H4982" s="19">
        <v>3393660</v>
      </c>
    </row>
    <row r="4983" spans="1:8" ht="18" customHeight="1" x14ac:dyDescent="0.15">
      <c r="A4983" s="250"/>
      <c r="B4983" s="23" t="s">
        <v>18</v>
      </c>
      <c r="C4983" s="22">
        <v>2845</v>
      </c>
      <c r="D4983" s="21">
        <v>60738011</v>
      </c>
      <c r="E4983" s="21">
        <v>10610329</v>
      </c>
      <c r="F4983" s="20">
        <v>8032976</v>
      </c>
      <c r="G4983" s="20">
        <v>35634239</v>
      </c>
      <c r="H4983" s="19">
        <v>6460465</v>
      </c>
    </row>
    <row r="4984" spans="1:8" ht="18" customHeight="1" x14ac:dyDescent="0.15">
      <c r="A4984" s="250"/>
      <c r="B4984" s="23" t="s">
        <v>17</v>
      </c>
      <c r="C4984" s="22">
        <v>567</v>
      </c>
      <c r="D4984" s="21">
        <v>16143284</v>
      </c>
      <c r="E4984" s="21">
        <v>2011855</v>
      </c>
      <c r="F4984" s="20">
        <v>1537046</v>
      </c>
      <c r="G4984" s="20">
        <v>11470834</v>
      </c>
      <c r="H4984" s="19">
        <v>1123548</v>
      </c>
    </row>
    <row r="4985" spans="1:8" ht="18" customHeight="1" x14ac:dyDescent="0.15">
      <c r="A4985" s="250"/>
      <c r="B4985" s="23" t="s">
        <v>16</v>
      </c>
      <c r="C4985" s="22">
        <v>43057</v>
      </c>
      <c r="D4985" s="21">
        <v>11276617</v>
      </c>
      <c r="E4985" s="21">
        <v>306806</v>
      </c>
      <c r="F4985" s="20">
        <v>6701197</v>
      </c>
      <c r="G4985" s="20">
        <v>4074449</v>
      </c>
      <c r="H4985" s="19">
        <v>194165</v>
      </c>
    </row>
    <row r="4986" spans="1:8" ht="18" customHeight="1" x14ac:dyDescent="0.15">
      <c r="A4986" s="250"/>
      <c r="B4986" s="23" t="s">
        <v>15</v>
      </c>
      <c r="C4986" s="22">
        <v>112</v>
      </c>
      <c r="D4986" s="21">
        <v>1342245</v>
      </c>
      <c r="E4986" s="21">
        <v>10861</v>
      </c>
      <c r="F4986" s="20">
        <v>1025635</v>
      </c>
      <c r="G4986" s="20">
        <v>298949</v>
      </c>
      <c r="H4986" s="19">
        <v>6800</v>
      </c>
    </row>
    <row r="4987" spans="1:8" ht="18" customHeight="1" x14ac:dyDescent="0.15">
      <c r="A4987" s="250"/>
      <c r="B4987" s="23" t="s">
        <v>14</v>
      </c>
      <c r="C4987" s="22">
        <v>38</v>
      </c>
      <c r="D4987" s="21">
        <v>757800</v>
      </c>
      <c r="E4987" s="21">
        <v>121002</v>
      </c>
      <c r="F4987" s="20">
        <v>118000</v>
      </c>
      <c r="G4987" s="20">
        <v>426698</v>
      </c>
      <c r="H4987" s="19">
        <v>92100</v>
      </c>
    </row>
    <row r="4988" spans="1:8" ht="18" customHeight="1" x14ac:dyDescent="0.15">
      <c r="A4988" s="250"/>
      <c r="B4988" s="23" t="s">
        <v>13</v>
      </c>
      <c r="C4988" s="22">
        <v>457</v>
      </c>
      <c r="D4988" s="21">
        <v>1977659</v>
      </c>
      <c r="E4988" s="21">
        <v>346773</v>
      </c>
      <c r="F4988" s="20">
        <v>989154</v>
      </c>
      <c r="G4988" s="20">
        <v>585831</v>
      </c>
      <c r="H4988" s="19">
        <v>55900</v>
      </c>
    </row>
    <row r="4989" spans="1:8" ht="18" customHeight="1" x14ac:dyDescent="0.15">
      <c r="A4989" s="250"/>
      <c r="B4989" s="23" t="s">
        <v>12</v>
      </c>
      <c r="C4989" s="22">
        <v>348</v>
      </c>
      <c r="D4989" s="21">
        <v>9309056</v>
      </c>
      <c r="E4989" s="21">
        <v>1109945</v>
      </c>
      <c r="F4989" s="20">
        <v>2015718</v>
      </c>
      <c r="G4989" s="20">
        <v>5504904</v>
      </c>
      <c r="H4989" s="19">
        <v>678487</v>
      </c>
    </row>
    <row r="4990" spans="1:8" ht="18" customHeight="1" x14ac:dyDescent="0.15">
      <c r="A4990" s="250"/>
      <c r="B4990" s="23" t="s">
        <v>11</v>
      </c>
      <c r="C4990" s="22">
        <v>41</v>
      </c>
      <c r="D4990" s="21">
        <v>1579800</v>
      </c>
      <c r="E4990" s="21">
        <v>113200</v>
      </c>
      <c r="F4990" s="20">
        <v>640300</v>
      </c>
      <c r="G4990" s="20">
        <v>721300</v>
      </c>
      <c r="H4990" s="19">
        <v>105000</v>
      </c>
    </row>
    <row r="4991" spans="1:8" ht="18" customHeight="1" x14ac:dyDescent="0.15">
      <c r="A4991" s="250"/>
      <c r="B4991" s="23" t="s">
        <v>10</v>
      </c>
      <c r="C4991" s="22">
        <v>0</v>
      </c>
      <c r="D4991" s="21">
        <v>0</v>
      </c>
      <c r="E4991" s="21">
        <v>0</v>
      </c>
      <c r="F4991" s="20">
        <v>0</v>
      </c>
      <c r="G4991" s="20">
        <v>0</v>
      </c>
      <c r="H4991" s="19">
        <v>0</v>
      </c>
    </row>
    <row r="4992" spans="1:8" ht="18" customHeight="1" x14ac:dyDescent="0.15">
      <c r="A4992" s="250"/>
      <c r="B4992" s="23" t="s">
        <v>9</v>
      </c>
      <c r="C4992" s="22">
        <v>16</v>
      </c>
      <c r="D4992" s="21">
        <v>500800</v>
      </c>
      <c r="E4992" s="21">
        <v>200</v>
      </c>
      <c r="F4992" s="20">
        <v>195800</v>
      </c>
      <c r="G4992" s="20">
        <v>302700</v>
      </c>
      <c r="H4992" s="19">
        <v>2100</v>
      </c>
    </row>
    <row r="4993" spans="1:8" ht="18" customHeight="1" x14ac:dyDescent="0.15">
      <c r="A4993" s="250"/>
      <c r="B4993" s="23" t="s">
        <v>8</v>
      </c>
      <c r="C4993" s="22">
        <v>0</v>
      </c>
      <c r="D4993" s="21">
        <v>0</v>
      </c>
      <c r="E4993" s="21">
        <v>0</v>
      </c>
      <c r="F4993" s="20">
        <v>0</v>
      </c>
      <c r="G4993" s="20">
        <v>0</v>
      </c>
      <c r="H4993" s="19">
        <v>0</v>
      </c>
    </row>
    <row r="4994" spans="1:8" ht="18" customHeight="1" x14ac:dyDescent="0.15">
      <c r="A4994" s="251"/>
      <c r="B4994" s="23" t="s">
        <v>7</v>
      </c>
      <c r="C4994" s="22">
        <v>14</v>
      </c>
      <c r="D4994" s="21">
        <v>9075</v>
      </c>
      <c r="E4994" s="21">
        <v>2905</v>
      </c>
      <c r="F4994" s="20">
        <v>0</v>
      </c>
      <c r="G4994" s="20">
        <v>5670</v>
      </c>
      <c r="H4994" s="19">
        <v>500</v>
      </c>
    </row>
    <row r="4995" spans="1:8" ht="18" customHeight="1" x14ac:dyDescent="0.15">
      <c r="A4995" s="18" t="s">
        <v>6</v>
      </c>
      <c r="B4995" s="17" t="s">
        <v>5</v>
      </c>
      <c r="C4995" s="16">
        <v>3771</v>
      </c>
      <c r="D4995" s="15">
        <v>13982386</v>
      </c>
      <c r="E4995" s="15">
        <v>1397180</v>
      </c>
      <c r="F4995" s="14">
        <v>4889375</v>
      </c>
      <c r="G4995" s="14">
        <v>5463211</v>
      </c>
      <c r="H4995" s="13">
        <v>2232620</v>
      </c>
    </row>
    <row r="4996" spans="1:8" ht="18" customHeight="1" x14ac:dyDescent="0.15">
      <c r="A4996" s="252" t="s">
        <v>4</v>
      </c>
      <c r="B4996" s="12" t="s">
        <v>3</v>
      </c>
      <c r="C4996" s="11">
        <v>5041</v>
      </c>
      <c r="D4996" s="10">
        <v>73568857</v>
      </c>
      <c r="E4996" s="10">
        <v>44206033</v>
      </c>
      <c r="F4996" s="9">
        <v>13694974</v>
      </c>
      <c r="G4996" s="9">
        <v>10249755</v>
      </c>
      <c r="H4996" s="8">
        <v>5418094</v>
      </c>
    </row>
    <row r="4997" spans="1:8" ht="18" customHeight="1" thickBot="1" x14ac:dyDescent="0.2">
      <c r="A4997" s="253"/>
      <c r="B4997" s="7" t="s">
        <v>51</v>
      </c>
      <c r="C4997" s="6">
        <v>3049</v>
      </c>
      <c r="D4997" s="5" t="s">
        <v>54</v>
      </c>
      <c r="E4997" s="5" t="s">
        <v>54</v>
      </c>
      <c r="F4997" s="5" t="s">
        <v>54</v>
      </c>
      <c r="G4997" s="5" t="s">
        <v>54</v>
      </c>
      <c r="H4997" s="4" t="s">
        <v>54</v>
      </c>
    </row>
    <row r="4998" spans="1:8" ht="18" customHeight="1" x14ac:dyDescent="0.15">
      <c r="A4998" s="3" t="s">
        <v>58</v>
      </c>
      <c r="B4998" s="2"/>
      <c r="C4998" s="2"/>
      <c r="D4998" s="2"/>
      <c r="E4998" s="2"/>
      <c r="F4998" s="2"/>
      <c r="G4998" s="2"/>
      <c r="H4998" s="2"/>
    </row>
    <row r="4999" spans="1:8" ht="18" customHeight="1" x14ac:dyDescent="0.15">
      <c r="A4999" s="230" t="s">
        <v>57</v>
      </c>
      <c r="B4999" s="230"/>
      <c r="C4999" s="230"/>
      <c r="D4999" s="230"/>
      <c r="E4999" s="230"/>
      <c r="F4999" s="230"/>
      <c r="G4999" s="230"/>
      <c r="H4999" s="230"/>
    </row>
    <row r="5000" spans="1:8" ht="18" customHeight="1" x14ac:dyDescent="0.15">
      <c r="A5000" s="231"/>
      <c r="B5000" s="231"/>
      <c r="C5000" s="231"/>
      <c r="D5000" s="231"/>
      <c r="E5000" s="231"/>
      <c r="F5000" s="231"/>
      <c r="G5000" s="231"/>
      <c r="H5000" s="231"/>
    </row>
    <row r="5001" spans="1:8" ht="18" customHeight="1" thickBot="1" x14ac:dyDescent="0.2">
      <c r="A5001" s="58" t="s">
        <v>48</v>
      </c>
    </row>
    <row r="5002" spans="1:8" ht="18" customHeight="1" x14ac:dyDescent="0.15">
      <c r="A5002" s="262" t="s">
        <v>47</v>
      </c>
      <c r="B5002" s="265" t="s">
        <v>46</v>
      </c>
      <c r="C5002" s="268" t="s">
        <v>45</v>
      </c>
      <c r="D5002" s="271" t="s">
        <v>44</v>
      </c>
      <c r="E5002" s="57"/>
      <c r="F5002" s="56"/>
      <c r="G5002" s="56"/>
      <c r="H5002" s="55"/>
    </row>
    <row r="5003" spans="1:8" ht="18" customHeight="1" x14ac:dyDescent="0.15">
      <c r="A5003" s="263"/>
      <c r="B5003" s="266"/>
      <c r="C5003" s="269"/>
      <c r="D5003" s="272"/>
      <c r="E5003" s="258" t="s">
        <v>43</v>
      </c>
      <c r="F5003" s="254" t="s">
        <v>42</v>
      </c>
      <c r="G5003" s="254" t="s">
        <v>41</v>
      </c>
      <c r="H5003" s="260" t="s">
        <v>40</v>
      </c>
    </row>
    <row r="5004" spans="1:8" ht="18" customHeight="1" thickBot="1" x14ac:dyDescent="0.2">
      <c r="A5004" s="264"/>
      <c r="B5004" s="267"/>
      <c r="C5004" s="270"/>
      <c r="D5004" s="245"/>
      <c r="E5004" s="259"/>
      <c r="F5004" s="255"/>
      <c r="G5004" s="255"/>
      <c r="H5004" s="261"/>
    </row>
    <row r="5005" spans="1:8" ht="18" customHeight="1" thickTop="1" x14ac:dyDescent="0.15">
      <c r="A5005" s="54"/>
      <c r="B5005" s="53"/>
      <c r="C5005" s="52"/>
      <c r="D5005" s="51" t="s">
        <v>39</v>
      </c>
      <c r="E5005" s="50" t="s">
        <v>39</v>
      </c>
      <c r="F5005" s="49" t="s">
        <v>39</v>
      </c>
      <c r="G5005" s="49" t="s">
        <v>39</v>
      </c>
      <c r="H5005" s="48" t="s">
        <v>39</v>
      </c>
    </row>
    <row r="5006" spans="1:8" ht="18" customHeight="1" x14ac:dyDescent="0.15">
      <c r="A5006" s="250" t="s">
        <v>38</v>
      </c>
      <c r="B5006" s="47" t="s">
        <v>37</v>
      </c>
      <c r="C5006" s="46">
        <v>3552</v>
      </c>
      <c r="D5006" s="45">
        <v>436116132</v>
      </c>
      <c r="E5006" s="45">
        <v>169789494</v>
      </c>
      <c r="F5006" s="44">
        <v>132775183</v>
      </c>
      <c r="G5006" s="44">
        <v>127290249</v>
      </c>
      <c r="H5006" s="43">
        <v>6261205</v>
      </c>
    </row>
    <row r="5007" spans="1:8" ht="18" customHeight="1" x14ac:dyDescent="0.15">
      <c r="A5007" s="250"/>
      <c r="B5007" s="41" t="s">
        <v>36</v>
      </c>
      <c r="C5007" s="39">
        <v>18</v>
      </c>
      <c r="D5007" s="38">
        <v>135025</v>
      </c>
      <c r="E5007" s="38">
        <v>66649</v>
      </c>
      <c r="F5007" s="37">
        <v>49920</v>
      </c>
      <c r="G5007" s="37">
        <v>18455</v>
      </c>
      <c r="H5007" s="36">
        <v>0</v>
      </c>
    </row>
    <row r="5008" spans="1:8" ht="18" customHeight="1" x14ac:dyDescent="0.15">
      <c r="A5008" s="250"/>
      <c r="B5008" s="41" t="s">
        <v>35</v>
      </c>
      <c r="C5008" s="39">
        <v>24</v>
      </c>
      <c r="D5008" s="38">
        <v>892</v>
      </c>
      <c r="E5008" s="38">
        <v>885</v>
      </c>
      <c r="F5008" s="37">
        <v>1</v>
      </c>
      <c r="G5008" s="37">
        <v>5</v>
      </c>
      <c r="H5008" s="36">
        <v>0</v>
      </c>
    </row>
    <row r="5009" spans="1:8" ht="18" customHeight="1" x14ac:dyDescent="0.15">
      <c r="A5009" s="250"/>
      <c r="B5009" s="42" t="s">
        <v>34</v>
      </c>
      <c r="C5009" s="34">
        <v>1</v>
      </c>
      <c r="D5009" s="33">
        <v>134066</v>
      </c>
      <c r="E5009" s="33">
        <v>103205</v>
      </c>
      <c r="F5009" s="32">
        <v>4985</v>
      </c>
      <c r="G5009" s="32">
        <v>23823</v>
      </c>
      <c r="H5009" s="31">
        <v>2051</v>
      </c>
    </row>
    <row r="5010" spans="1:8" ht="18" customHeight="1" x14ac:dyDescent="0.15">
      <c r="A5010" s="250"/>
      <c r="B5010" s="41" t="s">
        <v>33</v>
      </c>
      <c r="C5010" s="39">
        <v>47</v>
      </c>
      <c r="D5010" s="38">
        <v>7832363</v>
      </c>
      <c r="E5010" s="38">
        <v>2332199</v>
      </c>
      <c r="F5010" s="37">
        <v>1794468</v>
      </c>
      <c r="G5010" s="37">
        <v>3688865</v>
      </c>
      <c r="H5010" s="36">
        <v>16829</v>
      </c>
    </row>
    <row r="5011" spans="1:8" ht="18" customHeight="1" x14ac:dyDescent="0.15">
      <c r="A5011" s="250"/>
      <c r="B5011" s="40" t="s">
        <v>32</v>
      </c>
      <c r="C5011" s="39">
        <v>118</v>
      </c>
      <c r="D5011" s="38">
        <v>8378446</v>
      </c>
      <c r="E5011" s="38">
        <v>2556387</v>
      </c>
      <c r="F5011" s="37">
        <v>961049</v>
      </c>
      <c r="G5011" s="37">
        <v>4811830</v>
      </c>
      <c r="H5011" s="36">
        <v>49179</v>
      </c>
    </row>
    <row r="5012" spans="1:8" ht="18" customHeight="1" x14ac:dyDescent="0.15">
      <c r="A5012" s="251"/>
      <c r="B5012" s="35" t="s">
        <v>31</v>
      </c>
      <c r="C5012" s="34">
        <v>36</v>
      </c>
      <c r="D5012" s="33">
        <v>60719</v>
      </c>
      <c r="E5012" s="33">
        <v>51683</v>
      </c>
      <c r="F5012" s="32">
        <v>1908</v>
      </c>
      <c r="G5012" s="32">
        <v>6840</v>
      </c>
      <c r="H5012" s="31">
        <v>287</v>
      </c>
    </row>
    <row r="5013" spans="1:8" ht="18" customHeight="1" x14ac:dyDescent="0.15">
      <c r="A5013" s="30" t="s">
        <v>30</v>
      </c>
      <c r="B5013" s="29" t="s">
        <v>29</v>
      </c>
      <c r="C5013" s="28">
        <v>39</v>
      </c>
      <c r="D5013" s="15">
        <v>91661</v>
      </c>
      <c r="E5013" s="15">
        <v>89722</v>
      </c>
      <c r="F5013" s="14">
        <v>1799</v>
      </c>
      <c r="G5013" s="14">
        <v>0</v>
      </c>
      <c r="H5013" s="13">
        <v>139</v>
      </c>
    </row>
    <row r="5014" spans="1:8" ht="18" customHeight="1" x14ac:dyDescent="0.15">
      <c r="A5014" s="252" t="s">
        <v>28</v>
      </c>
      <c r="B5014" s="17" t="s">
        <v>27</v>
      </c>
      <c r="C5014" s="16">
        <v>2817</v>
      </c>
      <c r="D5014" s="27">
        <v>57122309</v>
      </c>
      <c r="E5014" s="27">
        <v>8727685</v>
      </c>
      <c r="F5014" s="26">
        <v>6539728</v>
      </c>
      <c r="G5014" s="26">
        <v>35428622</v>
      </c>
      <c r="H5014" s="25">
        <v>6426272</v>
      </c>
    </row>
    <row r="5015" spans="1:8" ht="18" customHeight="1" x14ac:dyDescent="0.15">
      <c r="A5015" s="250"/>
      <c r="B5015" s="23" t="s">
        <v>26</v>
      </c>
      <c r="C5015" s="22">
        <v>3361</v>
      </c>
      <c r="D5015" s="21">
        <v>16285196</v>
      </c>
      <c r="E5015" s="21">
        <v>650535</v>
      </c>
      <c r="F5015" s="20">
        <v>3166441</v>
      </c>
      <c r="G5015" s="20">
        <v>10467375</v>
      </c>
      <c r="H5015" s="19">
        <v>2000843</v>
      </c>
    </row>
    <row r="5016" spans="1:8" ht="18" customHeight="1" x14ac:dyDescent="0.15">
      <c r="A5016" s="250"/>
      <c r="B5016" s="24" t="s">
        <v>25</v>
      </c>
      <c r="C5016" s="22">
        <v>612</v>
      </c>
      <c r="D5016" s="21">
        <v>36392468</v>
      </c>
      <c r="E5016" s="21">
        <v>2008394</v>
      </c>
      <c r="F5016" s="20">
        <v>5260115</v>
      </c>
      <c r="G5016" s="20">
        <v>23702883</v>
      </c>
      <c r="H5016" s="19">
        <v>5421074</v>
      </c>
    </row>
    <row r="5017" spans="1:8" ht="18" customHeight="1" x14ac:dyDescent="0.15">
      <c r="A5017" s="250"/>
      <c r="B5017" s="23" t="s">
        <v>24</v>
      </c>
      <c r="C5017" s="22">
        <v>1249</v>
      </c>
      <c r="D5017" s="21">
        <v>39875800</v>
      </c>
      <c r="E5017" s="21">
        <v>3373025</v>
      </c>
      <c r="F5017" s="20">
        <v>6069750</v>
      </c>
      <c r="G5017" s="20">
        <v>27239236</v>
      </c>
      <c r="H5017" s="19">
        <v>3193788</v>
      </c>
    </row>
    <row r="5018" spans="1:8" ht="18" customHeight="1" x14ac:dyDescent="0.15">
      <c r="A5018" s="250"/>
      <c r="B5018" s="23" t="s">
        <v>23</v>
      </c>
      <c r="C5018" s="22">
        <v>125</v>
      </c>
      <c r="D5018" s="21">
        <v>4859749</v>
      </c>
      <c r="E5018" s="21">
        <v>61792</v>
      </c>
      <c r="F5018" s="20">
        <v>210886</v>
      </c>
      <c r="G5018" s="20">
        <v>4483159</v>
      </c>
      <c r="H5018" s="19">
        <v>103912</v>
      </c>
    </row>
    <row r="5019" spans="1:8" ht="18" customHeight="1" x14ac:dyDescent="0.15">
      <c r="A5019" s="250"/>
      <c r="B5019" s="23" t="s">
        <v>22</v>
      </c>
      <c r="C5019" s="22">
        <v>86</v>
      </c>
      <c r="D5019" s="21">
        <v>933600</v>
      </c>
      <c r="E5019" s="21">
        <v>195120</v>
      </c>
      <c r="F5019" s="20">
        <v>48550</v>
      </c>
      <c r="G5019" s="20">
        <v>483920</v>
      </c>
      <c r="H5019" s="19">
        <v>206010</v>
      </c>
    </row>
    <row r="5020" spans="1:8" ht="18" customHeight="1" x14ac:dyDescent="0.15">
      <c r="A5020" s="250"/>
      <c r="B5020" s="23" t="s">
        <v>21</v>
      </c>
      <c r="C5020" s="22">
        <v>38</v>
      </c>
      <c r="D5020" s="21">
        <v>330906</v>
      </c>
      <c r="E5020" s="21">
        <v>147514</v>
      </c>
      <c r="F5020" s="20">
        <v>24266</v>
      </c>
      <c r="G5020" s="20">
        <v>102936</v>
      </c>
      <c r="H5020" s="19">
        <v>56189</v>
      </c>
    </row>
    <row r="5021" spans="1:8" ht="18" customHeight="1" x14ac:dyDescent="0.15">
      <c r="A5021" s="250"/>
      <c r="B5021" s="23" t="s">
        <v>20</v>
      </c>
      <c r="C5021" s="22">
        <v>0</v>
      </c>
      <c r="D5021" s="21">
        <v>0</v>
      </c>
      <c r="E5021" s="21">
        <v>0</v>
      </c>
      <c r="F5021" s="20">
        <v>0</v>
      </c>
      <c r="G5021" s="20">
        <v>0</v>
      </c>
      <c r="H5021" s="19">
        <v>0</v>
      </c>
    </row>
    <row r="5022" spans="1:8" ht="18" customHeight="1" x14ac:dyDescent="0.15">
      <c r="A5022" s="250"/>
      <c r="B5022" s="23" t="s">
        <v>19</v>
      </c>
      <c r="C5022" s="22">
        <v>262</v>
      </c>
      <c r="D5022" s="21">
        <v>11908030</v>
      </c>
      <c r="E5022" s="21">
        <v>906870</v>
      </c>
      <c r="F5022" s="20">
        <v>3807720</v>
      </c>
      <c r="G5022" s="20">
        <v>3783080</v>
      </c>
      <c r="H5022" s="19">
        <v>3410360</v>
      </c>
    </row>
    <row r="5023" spans="1:8" ht="18" customHeight="1" x14ac:dyDescent="0.15">
      <c r="A5023" s="250"/>
      <c r="B5023" s="23" t="s">
        <v>18</v>
      </c>
      <c r="C5023" s="22">
        <v>2849</v>
      </c>
      <c r="D5023" s="21">
        <v>60530766</v>
      </c>
      <c r="E5023" s="21">
        <v>10366786</v>
      </c>
      <c r="F5023" s="20">
        <v>8020977</v>
      </c>
      <c r="G5023" s="20">
        <v>35661868</v>
      </c>
      <c r="H5023" s="19">
        <v>6481133</v>
      </c>
    </row>
    <row r="5024" spans="1:8" ht="18" customHeight="1" x14ac:dyDescent="0.15">
      <c r="A5024" s="250"/>
      <c r="B5024" s="23" t="s">
        <v>17</v>
      </c>
      <c r="C5024" s="22">
        <v>565</v>
      </c>
      <c r="D5024" s="21">
        <v>16043284</v>
      </c>
      <c r="E5024" s="21">
        <v>2009037</v>
      </c>
      <c r="F5024" s="20">
        <v>1539274</v>
      </c>
      <c r="G5024" s="20">
        <v>11387005</v>
      </c>
      <c r="H5024" s="19">
        <v>1107967</v>
      </c>
    </row>
    <row r="5025" spans="1:8" ht="18" customHeight="1" x14ac:dyDescent="0.15">
      <c r="A5025" s="250"/>
      <c r="B5025" s="23" t="s">
        <v>16</v>
      </c>
      <c r="C5025" s="22">
        <v>43072</v>
      </c>
      <c r="D5025" s="21">
        <v>11387476</v>
      </c>
      <c r="E5025" s="21">
        <v>314606</v>
      </c>
      <c r="F5025" s="20">
        <v>6723217</v>
      </c>
      <c r="G5025" s="20">
        <v>4150357</v>
      </c>
      <c r="H5025" s="19">
        <v>199295</v>
      </c>
    </row>
    <row r="5026" spans="1:8" ht="18" customHeight="1" x14ac:dyDescent="0.15">
      <c r="A5026" s="250"/>
      <c r="B5026" s="23" t="s">
        <v>15</v>
      </c>
      <c r="C5026" s="22">
        <v>111</v>
      </c>
      <c r="D5026" s="21">
        <v>1322245</v>
      </c>
      <c r="E5026" s="21">
        <v>10861</v>
      </c>
      <c r="F5026" s="20">
        <v>1025635</v>
      </c>
      <c r="G5026" s="20">
        <v>278949</v>
      </c>
      <c r="H5026" s="19">
        <v>6800</v>
      </c>
    </row>
    <row r="5027" spans="1:8" ht="18" customHeight="1" x14ac:dyDescent="0.15">
      <c r="A5027" s="250"/>
      <c r="B5027" s="23" t="s">
        <v>14</v>
      </c>
      <c r="C5027" s="22">
        <v>38</v>
      </c>
      <c r="D5027" s="21">
        <v>757800</v>
      </c>
      <c r="E5027" s="21">
        <v>121602</v>
      </c>
      <c r="F5027" s="20">
        <v>118000</v>
      </c>
      <c r="G5027" s="20">
        <v>426198</v>
      </c>
      <c r="H5027" s="19">
        <v>92000</v>
      </c>
    </row>
    <row r="5028" spans="1:8" ht="18" customHeight="1" x14ac:dyDescent="0.15">
      <c r="A5028" s="250"/>
      <c r="B5028" s="23" t="s">
        <v>13</v>
      </c>
      <c r="C5028" s="22">
        <v>464</v>
      </c>
      <c r="D5028" s="21">
        <v>2029193</v>
      </c>
      <c r="E5028" s="21">
        <v>371368</v>
      </c>
      <c r="F5028" s="20">
        <v>1025004</v>
      </c>
      <c r="G5028" s="20">
        <v>576921</v>
      </c>
      <c r="H5028" s="19">
        <v>55900</v>
      </c>
    </row>
    <row r="5029" spans="1:8" ht="18" customHeight="1" x14ac:dyDescent="0.15">
      <c r="A5029" s="250"/>
      <c r="B5029" s="23" t="s">
        <v>12</v>
      </c>
      <c r="C5029" s="22">
        <v>340</v>
      </c>
      <c r="D5029" s="21">
        <v>9007856</v>
      </c>
      <c r="E5029" s="21">
        <v>1098748</v>
      </c>
      <c r="F5029" s="20">
        <v>1955615</v>
      </c>
      <c r="G5029" s="20">
        <v>5284104</v>
      </c>
      <c r="H5029" s="19">
        <v>669387</v>
      </c>
    </row>
    <row r="5030" spans="1:8" ht="18" customHeight="1" x14ac:dyDescent="0.15">
      <c r="A5030" s="250"/>
      <c r="B5030" s="23" t="s">
        <v>11</v>
      </c>
      <c r="C5030" s="22">
        <v>41</v>
      </c>
      <c r="D5030" s="21">
        <v>1579800</v>
      </c>
      <c r="E5030" s="21">
        <v>115300</v>
      </c>
      <c r="F5030" s="20">
        <v>640300</v>
      </c>
      <c r="G5030" s="20">
        <v>719200</v>
      </c>
      <c r="H5030" s="19">
        <v>105000</v>
      </c>
    </row>
    <row r="5031" spans="1:8" ht="18" customHeight="1" x14ac:dyDescent="0.15">
      <c r="A5031" s="250"/>
      <c r="B5031" s="23" t="s">
        <v>10</v>
      </c>
      <c r="C5031" s="22">
        <v>0</v>
      </c>
      <c r="D5031" s="21">
        <v>0</v>
      </c>
      <c r="E5031" s="21">
        <v>0</v>
      </c>
      <c r="F5031" s="20">
        <v>0</v>
      </c>
      <c r="G5031" s="20">
        <v>0</v>
      </c>
      <c r="H5031" s="19">
        <v>0</v>
      </c>
    </row>
    <row r="5032" spans="1:8" ht="18" customHeight="1" x14ac:dyDescent="0.15">
      <c r="A5032" s="250"/>
      <c r="B5032" s="23" t="s">
        <v>9</v>
      </c>
      <c r="C5032" s="22">
        <v>16</v>
      </c>
      <c r="D5032" s="21">
        <v>500800</v>
      </c>
      <c r="E5032" s="21">
        <v>200</v>
      </c>
      <c r="F5032" s="20">
        <v>195800</v>
      </c>
      <c r="G5032" s="20">
        <v>302700</v>
      </c>
      <c r="H5032" s="19">
        <v>2100</v>
      </c>
    </row>
    <row r="5033" spans="1:8" ht="18" customHeight="1" x14ac:dyDescent="0.15">
      <c r="A5033" s="250"/>
      <c r="B5033" s="23" t="s">
        <v>8</v>
      </c>
      <c r="C5033" s="22">
        <v>0</v>
      </c>
      <c r="D5033" s="21">
        <v>0</v>
      </c>
      <c r="E5033" s="21">
        <v>0</v>
      </c>
      <c r="F5033" s="20">
        <v>0</v>
      </c>
      <c r="G5033" s="20">
        <v>0</v>
      </c>
      <c r="H5033" s="19">
        <v>0</v>
      </c>
    </row>
    <row r="5034" spans="1:8" ht="18" customHeight="1" x14ac:dyDescent="0.15">
      <c r="A5034" s="251"/>
      <c r="B5034" s="23" t="s">
        <v>7</v>
      </c>
      <c r="C5034" s="22">
        <v>14</v>
      </c>
      <c r="D5034" s="21">
        <v>9075</v>
      </c>
      <c r="E5034" s="21">
        <v>2905</v>
      </c>
      <c r="F5034" s="20">
        <v>0</v>
      </c>
      <c r="G5034" s="20">
        <v>5670</v>
      </c>
      <c r="H5034" s="19">
        <v>500</v>
      </c>
    </row>
    <row r="5035" spans="1:8" ht="18" customHeight="1" x14ac:dyDescent="0.15">
      <c r="A5035" s="18" t="s">
        <v>6</v>
      </c>
      <c r="B5035" s="17" t="s">
        <v>5</v>
      </c>
      <c r="C5035" s="16">
        <v>3747</v>
      </c>
      <c r="D5035" s="15">
        <v>14252733</v>
      </c>
      <c r="E5035" s="15">
        <v>1410780</v>
      </c>
      <c r="F5035" s="14">
        <v>5728911</v>
      </c>
      <c r="G5035" s="14">
        <v>5099642</v>
      </c>
      <c r="H5035" s="13">
        <v>2013400</v>
      </c>
    </row>
    <row r="5036" spans="1:8" ht="18" customHeight="1" x14ac:dyDescent="0.15">
      <c r="A5036" s="252" t="s">
        <v>4</v>
      </c>
      <c r="B5036" s="12" t="s">
        <v>3</v>
      </c>
      <c r="C5036" s="11">
        <v>4999</v>
      </c>
      <c r="D5036" s="10">
        <v>72600110</v>
      </c>
      <c r="E5036" s="10">
        <v>43661312</v>
      </c>
      <c r="F5036" s="9">
        <v>13551623</v>
      </c>
      <c r="G5036" s="9">
        <v>10069765</v>
      </c>
      <c r="H5036" s="8">
        <v>5317409</v>
      </c>
    </row>
    <row r="5037" spans="1:8" ht="18" customHeight="1" thickBot="1" x14ac:dyDescent="0.2">
      <c r="A5037" s="253"/>
      <c r="B5037" s="7" t="s">
        <v>51</v>
      </c>
      <c r="C5037" s="6">
        <v>3021</v>
      </c>
      <c r="D5037" s="5" t="s">
        <v>54</v>
      </c>
      <c r="E5037" s="5" t="s">
        <v>54</v>
      </c>
      <c r="F5037" s="5" t="s">
        <v>54</v>
      </c>
      <c r="G5037" s="5" t="s">
        <v>54</v>
      </c>
      <c r="H5037" s="4" t="s">
        <v>54</v>
      </c>
    </row>
    <row r="5038" spans="1:8" ht="18" customHeight="1" x14ac:dyDescent="0.15">
      <c r="A5038" s="3" t="s">
        <v>56</v>
      </c>
      <c r="B5038" s="2"/>
      <c r="C5038" s="2"/>
      <c r="D5038" s="2"/>
      <c r="E5038" s="2"/>
      <c r="F5038" s="2"/>
      <c r="G5038" s="2"/>
      <c r="H5038" s="2"/>
    </row>
    <row r="5039" spans="1:8" ht="18" customHeight="1" x14ac:dyDescent="0.15">
      <c r="A5039" s="230" t="s">
        <v>55</v>
      </c>
      <c r="B5039" s="230"/>
      <c r="C5039" s="230"/>
      <c r="D5039" s="230"/>
      <c r="E5039" s="230"/>
      <c r="F5039" s="230"/>
      <c r="G5039" s="230"/>
      <c r="H5039" s="230"/>
    </row>
    <row r="5040" spans="1:8" ht="18" customHeight="1" x14ac:dyDescent="0.15">
      <c r="A5040" s="231"/>
      <c r="B5040" s="231"/>
      <c r="C5040" s="231"/>
      <c r="D5040" s="231"/>
      <c r="E5040" s="231"/>
      <c r="F5040" s="231"/>
      <c r="G5040" s="231"/>
      <c r="H5040" s="231"/>
    </row>
    <row r="5041" spans="1:8" ht="18" customHeight="1" thickBot="1" x14ac:dyDescent="0.2">
      <c r="A5041" s="58" t="s">
        <v>48</v>
      </c>
    </row>
    <row r="5042" spans="1:8" ht="18" customHeight="1" x14ac:dyDescent="0.15">
      <c r="A5042" s="262" t="s">
        <v>47</v>
      </c>
      <c r="B5042" s="265" t="s">
        <v>46</v>
      </c>
      <c r="C5042" s="268" t="s">
        <v>45</v>
      </c>
      <c r="D5042" s="271" t="s">
        <v>44</v>
      </c>
      <c r="E5042" s="57"/>
      <c r="F5042" s="56"/>
      <c r="G5042" s="56"/>
      <c r="H5042" s="55"/>
    </row>
    <row r="5043" spans="1:8" ht="18" customHeight="1" x14ac:dyDescent="0.15">
      <c r="A5043" s="263"/>
      <c r="B5043" s="266"/>
      <c r="C5043" s="269"/>
      <c r="D5043" s="272"/>
      <c r="E5043" s="258" t="s">
        <v>43</v>
      </c>
      <c r="F5043" s="254" t="s">
        <v>42</v>
      </c>
      <c r="G5043" s="254" t="s">
        <v>41</v>
      </c>
      <c r="H5043" s="260" t="s">
        <v>40</v>
      </c>
    </row>
    <row r="5044" spans="1:8" ht="18" customHeight="1" thickBot="1" x14ac:dyDescent="0.2">
      <c r="A5044" s="264"/>
      <c r="B5044" s="267"/>
      <c r="C5044" s="270"/>
      <c r="D5044" s="245"/>
      <c r="E5044" s="259"/>
      <c r="F5044" s="255"/>
      <c r="G5044" s="255"/>
      <c r="H5044" s="261"/>
    </row>
    <row r="5045" spans="1:8" ht="18" customHeight="1" thickTop="1" x14ac:dyDescent="0.15">
      <c r="A5045" s="54"/>
      <c r="B5045" s="53"/>
      <c r="C5045" s="52"/>
      <c r="D5045" s="51" t="s">
        <v>39</v>
      </c>
      <c r="E5045" s="50" t="s">
        <v>39</v>
      </c>
      <c r="F5045" s="49" t="s">
        <v>39</v>
      </c>
      <c r="G5045" s="49" t="s">
        <v>39</v>
      </c>
      <c r="H5045" s="48" t="s">
        <v>39</v>
      </c>
    </row>
    <row r="5046" spans="1:8" ht="18" customHeight="1" x14ac:dyDescent="0.15">
      <c r="A5046" s="250" t="s">
        <v>38</v>
      </c>
      <c r="B5046" s="47" t="s">
        <v>37</v>
      </c>
      <c r="C5046" s="46">
        <v>3548</v>
      </c>
      <c r="D5046" s="45">
        <v>444706503</v>
      </c>
      <c r="E5046" s="45">
        <v>177650171</v>
      </c>
      <c r="F5046" s="44">
        <v>130598659</v>
      </c>
      <c r="G5046" s="44">
        <v>129435116</v>
      </c>
      <c r="H5046" s="43">
        <v>7022555</v>
      </c>
    </row>
    <row r="5047" spans="1:8" ht="18" customHeight="1" x14ac:dyDescent="0.15">
      <c r="A5047" s="250"/>
      <c r="B5047" s="41" t="s">
        <v>36</v>
      </c>
      <c r="C5047" s="39">
        <v>22</v>
      </c>
      <c r="D5047" s="38">
        <v>137182</v>
      </c>
      <c r="E5047" s="38">
        <v>67135</v>
      </c>
      <c r="F5047" s="37">
        <v>52662</v>
      </c>
      <c r="G5047" s="37">
        <v>17384</v>
      </c>
      <c r="H5047" s="36">
        <v>0</v>
      </c>
    </row>
    <row r="5048" spans="1:8" ht="18" customHeight="1" x14ac:dyDescent="0.15">
      <c r="A5048" s="250"/>
      <c r="B5048" s="41" t="s">
        <v>35</v>
      </c>
      <c r="C5048" s="39">
        <v>24</v>
      </c>
      <c r="D5048" s="38">
        <v>1792</v>
      </c>
      <c r="E5048" s="38">
        <v>1749</v>
      </c>
      <c r="F5048" s="37">
        <v>2</v>
      </c>
      <c r="G5048" s="37">
        <v>33</v>
      </c>
      <c r="H5048" s="36">
        <v>7</v>
      </c>
    </row>
    <row r="5049" spans="1:8" ht="18" customHeight="1" x14ac:dyDescent="0.15">
      <c r="A5049" s="250"/>
      <c r="B5049" s="42" t="s">
        <v>34</v>
      </c>
      <c r="C5049" s="34">
        <v>1</v>
      </c>
      <c r="D5049" s="33">
        <v>133712</v>
      </c>
      <c r="E5049" s="33">
        <v>102912</v>
      </c>
      <c r="F5049" s="32">
        <v>4994</v>
      </c>
      <c r="G5049" s="32">
        <v>23760</v>
      </c>
      <c r="H5049" s="31">
        <v>2045</v>
      </c>
    </row>
    <row r="5050" spans="1:8" ht="18" customHeight="1" x14ac:dyDescent="0.15">
      <c r="A5050" s="250"/>
      <c r="B5050" s="41" t="s">
        <v>33</v>
      </c>
      <c r="C5050" s="39">
        <v>46</v>
      </c>
      <c r="D5050" s="38">
        <v>7330096</v>
      </c>
      <c r="E5050" s="38">
        <v>2176429</v>
      </c>
      <c r="F5050" s="37">
        <v>1729074</v>
      </c>
      <c r="G5050" s="37">
        <v>3408025</v>
      </c>
      <c r="H5050" s="36">
        <v>16567</v>
      </c>
    </row>
    <row r="5051" spans="1:8" ht="18" customHeight="1" x14ac:dyDescent="0.15">
      <c r="A5051" s="250"/>
      <c r="B5051" s="40" t="s">
        <v>32</v>
      </c>
      <c r="C5051" s="39">
        <v>118</v>
      </c>
      <c r="D5051" s="38">
        <v>8109942</v>
      </c>
      <c r="E5051" s="38">
        <v>2155488</v>
      </c>
      <c r="F5051" s="37">
        <v>964613</v>
      </c>
      <c r="G5051" s="37">
        <v>4931221</v>
      </c>
      <c r="H5051" s="36">
        <v>58619</v>
      </c>
    </row>
    <row r="5052" spans="1:8" ht="18" customHeight="1" x14ac:dyDescent="0.15">
      <c r="A5052" s="251"/>
      <c r="B5052" s="35" t="s">
        <v>31</v>
      </c>
      <c r="C5052" s="34">
        <v>36</v>
      </c>
      <c r="D5052" s="33">
        <v>67714</v>
      </c>
      <c r="E5052" s="33">
        <v>59266</v>
      </c>
      <c r="F5052" s="32">
        <v>1872</v>
      </c>
      <c r="G5052" s="32">
        <v>6256</v>
      </c>
      <c r="H5052" s="31">
        <v>318</v>
      </c>
    </row>
    <row r="5053" spans="1:8" ht="18" customHeight="1" x14ac:dyDescent="0.15">
      <c r="A5053" s="30" t="s">
        <v>30</v>
      </c>
      <c r="B5053" s="29" t="s">
        <v>29</v>
      </c>
      <c r="C5053" s="28">
        <v>39</v>
      </c>
      <c r="D5053" s="15">
        <v>96234</v>
      </c>
      <c r="E5053" s="15">
        <v>93796</v>
      </c>
      <c r="F5053" s="14">
        <v>2275</v>
      </c>
      <c r="G5053" s="14">
        <v>0</v>
      </c>
      <c r="H5053" s="13">
        <v>162</v>
      </c>
    </row>
    <row r="5054" spans="1:8" ht="18" customHeight="1" x14ac:dyDescent="0.15">
      <c r="A5054" s="252" t="s">
        <v>28</v>
      </c>
      <c r="B5054" s="17" t="s">
        <v>27</v>
      </c>
      <c r="C5054" s="16">
        <v>2800</v>
      </c>
      <c r="D5054" s="27">
        <v>56845822</v>
      </c>
      <c r="E5054" s="27">
        <v>8701376</v>
      </c>
      <c r="F5054" s="26">
        <v>6554416</v>
      </c>
      <c r="G5054" s="26">
        <v>35307239</v>
      </c>
      <c r="H5054" s="25">
        <v>6282790</v>
      </c>
    </row>
    <row r="5055" spans="1:8" ht="18" customHeight="1" x14ac:dyDescent="0.15">
      <c r="A5055" s="250"/>
      <c r="B5055" s="23" t="s">
        <v>26</v>
      </c>
      <c r="C5055" s="22">
        <v>3402</v>
      </c>
      <c r="D5055" s="21">
        <v>16510371</v>
      </c>
      <c r="E5055" s="21">
        <v>660930</v>
      </c>
      <c r="F5055" s="20">
        <v>3198809</v>
      </c>
      <c r="G5055" s="20">
        <v>10622754</v>
      </c>
      <c r="H5055" s="19">
        <v>2027877</v>
      </c>
    </row>
    <row r="5056" spans="1:8" ht="18" customHeight="1" x14ac:dyDescent="0.15">
      <c r="A5056" s="250"/>
      <c r="B5056" s="24" t="s">
        <v>25</v>
      </c>
      <c r="C5056" s="22">
        <v>610</v>
      </c>
      <c r="D5056" s="21">
        <v>36497667</v>
      </c>
      <c r="E5056" s="21">
        <v>2015392</v>
      </c>
      <c r="F5056" s="20">
        <v>5334347</v>
      </c>
      <c r="G5056" s="20">
        <v>23836993</v>
      </c>
      <c r="H5056" s="19">
        <v>5310933</v>
      </c>
    </row>
    <row r="5057" spans="1:8" ht="18" customHeight="1" x14ac:dyDescent="0.15">
      <c r="A5057" s="250"/>
      <c r="B5057" s="23" t="s">
        <v>24</v>
      </c>
      <c r="C5057" s="22">
        <v>1221</v>
      </c>
      <c r="D5057" s="21">
        <v>39610300</v>
      </c>
      <c r="E5057" s="21">
        <v>3323112</v>
      </c>
      <c r="F5057" s="20">
        <v>5949670</v>
      </c>
      <c r="G5057" s="20">
        <v>27200394</v>
      </c>
      <c r="H5057" s="19">
        <v>3137122</v>
      </c>
    </row>
    <row r="5058" spans="1:8" ht="18" customHeight="1" x14ac:dyDescent="0.15">
      <c r="A5058" s="250"/>
      <c r="B5058" s="23" t="s">
        <v>23</v>
      </c>
      <c r="C5058" s="22">
        <v>126</v>
      </c>
      <c r="D5058" s="21">
        <v>4849649</v>
      </c>
      <c r="E5058" s="21">
        <v>62432</v>
      </c>
      <c r="F5058" s="20">
        <v>209275</v>
      </c>
      <c r="G5058" s="20">
        <v>4472797</v>
      </c>
      <c r="H5058" s="19">
        <v>105145</v>
      </c>
    </row>
    <row r="5059" spans="1:8" ht="18" customHeight="1" x14ac:dyDescent="0.15">
      <c r="A5059" s="250"/>
      <c r="B5059" s="23" t="s">
        <v>22</v>
      </c>
      <c r="C5059" s="22">
        <v>86</v>
      </c>
      <c r="D5059" s="21">
        <v>933600</v>
      </c>
      <c r="E5059" s="21">
        <v>197920</v>
      </c>
      <c r="F5059" s="20">
        <v>48550</v>
      </c>
      <c r="G5059" s="20">
        <v>484520</v>
      </c>
      <c r="H5059" s="19">
        <v>202610</v>
      </c>
    </row>
    <row r="5060" spans="1:8" ht="18" customHeight="1" x14ac:dyDescent="0.15">
      <c r="A5060" s="250"/>
      <c r="B5060" s="23" t="s">
        <v>21</v>
      </c>
      <c r="C5060" s="22">
        <v>38</v>
      </c>
      <c r="D5060" s="21">
        <v>330906</v>
      </c>
      <c r="E5060" s="21">
        <v>121955</v>
      </c>
      <c r="F5060" s="20">
        <v>22766</v>
      </c>
      <c r="G5060" s="20">
        <v>130821</v>
      </c>
      <c r="H5060" s="19">
        <v>55363</v>
      </c>
    </row>
    <row r="5061" spans="1:8" ht="18" customHeight="1" x14ac:dyDescent="0.15">
      <c r="A5061" s="250"/>
      <c r="B5061" s="23" t="s">
        <v>20</v>
      </c>
      <c r="C5061" s="22">
        <v>0</v>
      </c>
      <c r="D5061" s="21">
        <v>0</v>
      </c>
      <c r="E5061" s="21">
        <v>0</v>
      </c>
      <c r="F5061" s="20">
        <v>0</v>
      </c>
      <c r="G5061" s="20">
        <v>0</v>
      </c>
      <c r="H5061" s="19">
        <v>0</v>
      </c>
    </row>
    <row r="5062" spans="1:8" ht="18" customHeight="1" x14ac:dyDescent="0.15">
      <c r="A5062" s="250"/>
      <c r="B5062" s="23" t="s">
        <v>19</v>
      </c>
      <c r="C5062" s="22">
        <v>262</v>
      </c>
      <c r="D5062" s="21">
        <v>11977770</v>
      </c>
      <c r="E5062" s="21">
        <v>919670</v>
      </c>
      <c r="F5062" s="20">
        <v>3897020</v>
      </c>
      <c r="G5062" s="20">
        <v>3765860</v>
      </c>
      <c r="H5062" s="19">
        <v>3395220</v>
      </c>
    </row>
    <row r="5063" spans="1:8" ht="18" customHeight="1" x14ac:dyDescent="0.15">
      <c r="A5063" s="250"/>
      <c r="B5063" s="23" t="s">
        <v>18</v>
      </c>
      <c r="C5063" s="22">
        <v>2828</v>
      </c>
      <c r="D5063" s="21">
        <v>60301306</v>
      </c>
      <c r="E5063" s="21">
        <v>10289713</v>
      </c>
      <c r="F5063" s="20">
        <v>8022817</v>
      </c>
      <c r="G5063" s="20">
        <v>35538507</v>
      </c>
      <c r="H5063" s="19">
        <v>6450268</v>
      </c>
    </row>
    <row r="5064" spans="1:8" ht="18" customHeight="1" x14ac:dyDescent="0.15">
      <c r="A5064" s="250"/>
      <c r="B5064" s="23" t="s">
        <v>17</v>
      </c>
      <c r="C5064" s="22">
        <v>567</v>
      </c>
      <c r="D5064" s="21">
        <v>16107834</v>
      </c>
      <c r="E5064" s="21">
        <v>1998671</v>
      </c>
      <c r="F5064" s="20">
        <v>1547334</v>
      </c>
      <c r="G5064" s="20">
        <v>11463925</v>
      </c>
      <c r="H5064" s="19">
        <v>1097902</v>
      </c>
    </row>
    <row r="5065" spans="1:8" ht="18" customHeight="1" x14ac:dyDescent="0.15">
      <c r="A5065" s="250"/>
      <c r="B5065" s="23" t="s">
        <v>16</v>
      </c>
      <c r="C5065" s="22">
        <v>43157</v>
      </c>
      <c r="D5065" s="21">
        <v>11351880</v>
      </c>
      <c r="E5065" s="21">
        <v>304406</v>
      </c>
      <c r="F5065" s="20">
        <v>6705814</v>
      </c>
      <c r="G5065" s="20">
        <v>4147214</v>
      </c>
      <c r="H5065" s="19">
        <v>194445</v>
      </c>
    </row>
    <row r="5066" spans="1:8" ht="18" customHeight="1" x14ac:dyDescent="0.15">
      <c r="A5066" s="250"/>
      <c r="B5066" s="23" t="s">
        <v>15</v>
      </c>
      <c r="C5066" s="22">
        <v>105</v>
      </c>
      <c r="D5066" s="21">
        <v>1288198</v>
      </c>
      <c r="E5066" s="21">
        <v>10861</v>
      </c>
      <c r="F5066" s="20">
        <v>991588</v>
      </c>
      <c r="G5066" s="20">
        <v>278949</v>
      </c>
      <c r="H5066" s="19">
        <v>6800</v>
      </c>
    </row>
    <row r="5067" spans="1:8" ht="18" customHeight="1" x14ac:dyDescent="0.15">
      <c r="A5067" s="250"/>
      <c r="B5067" s="23" t="s">
        <v>14</v>
      </c>
      <c r="C5067" s="22">
        <v>38</v>
      </c>
      <c r="D5067" s="21">
        <v>757800</v>
      </c>
      <c r="E5067" s="21">
        <v>123002</v>
      </c>
      <c r="F5067" s="20">
        <v>116300</v>
      </c>
      <c r="G5067" s="20">
        <v>425898</v>
      </c>
      <c r="H5067" s="19">
        <v>92600</v>
      </c>
    </row>
    <row r="5068" spans="1:8" ht="18" customHeight="1" x14ac:dyDescent="0.15">
      <c r="A5068" s="250"/>
      <c r="B5068" s="23" t="s">
        <v>13</v>
      </c>
      <c r="C5068" s="22">
        <v>472</v>
      </c>
      <c r="D5068" s="21">
        <v>2062192</v>
      </c>
      <c r="E5068" s="21">
        <v>385498</v>
      </c>
      <c r="F5068" s="20">
        <v>1042991</v>
      </c>
      <c r="G5068" s="20">
        <v>573802</v>
      </c>
      <c r="H5068" s="19">
        <v>59900</v>
      </c>
    </row>
    <row r="5069" spans="1:8" ht="18" customHeight="1" x14ac:dyDescent="0.15">
      <c r="A5069" s="250"/>
      <c r="B5069" s="23" t="s">
        <v>12</v>
      </c>
      <c r="C5069" s="22">
        <v>342</v>
      </c>
      <c r="D5069" s="21">
        <v>9057856</v>
      </c>
      <c r="E5069" s="21">
        <v>1117335</v>
      </c>
      <c r="F5069" s="20">
        <v>1961515</v>
      </c>
      <c r="G5069" s="20">
        <v>5305804</v>
      </c>
      <c r="H5069" s="19">
        <v>673200</v>
      </c>
    </row>
    <row r="5070" spans="1:8" ht="18" customHeight="1" x14ac:dyDescent="0.15">
      <c r="A5070" s="250"/>
      <c r="B5070" s="23" t="s">
        <v>11</v>
      </c>
      <c r="C5070" s="22">
        <v>39</v>
      </c>
      <c r="D5070" s="21">
        <v>1603200</v>
      </c>
      <c r="E5070" s="21">
        <v>100900</v>
      </c>
      <c r="F5070" s="20">
        <v>639200</v>
      </c>
      <c r="G5070" s="20">
        <v>754200</v>
      </c>
      <c r="H5070" s="19">
        <v>108900</v>
      </c>
    </row>
    <row r="5071" spans="1:8" ht="18" customHeight="1" x14ac:dyDescent="0.15">
      <c r="A5071" s="250"/>
      <c r="B5071" s="23" t="s">
        <v>10</v>
      </c>
      <c r="C5071" s="22">
        <v>0</v>
      </c>
      <c r="D5071" s="21">
        <v>0</v>
      </c>
      <c r="E5071" s="21">
        <v>0</v>
      </c>
      <c r="F5071" s="20">
        <v>0</v>
      </c>
      <c r="G5071" s="20">
        <v>0</v>
      </c>
      <c r="H5071" s="19">
        <v>0</v>
      </c>
    </row>
    <row r="5072" spans="1:8" ht="18" customHeight="1" x14ac:dyDescent="0.15">
      <c r="A5072" s="250"/>
      <c r="B5072" s="23" t="s">
        <v>9</v>
      </c>
      <c r="C5072" s="22">
        <v>16</v>
      </c>
      <c r="D5072" s="21">
        <v>500800</v>
      </c>
      <c r="E5072" s="21">
        <v>200</v>
      </c>
      <c r="F5072" s="20">
        <v>195800</v>
      </c>
      <c r="G5072" s="20">
        <v>302700</v>
      </c>
      <c r="H5072" s="19">
        <v>2100</v>
      </c>
    </row>
    <row r="5073" spans="1:8" ht="18" customHeight="1" x14ac:dyDescent="0.15">
      <c r="A5073" s="250"/>
      <c r="B5073" s="23" t="s">
        <v>8</v>
      </c>
      <c r="C5073" s="22">
        <v>0</v>
      </c>
      <c r="D5073" s="21">
        <v>0</v>
      </c>
      <c r="E5073" s="21">
        <v>0</v>
      </c>
      <c r="F5073" s="20">
        <v>0</v>
      </c>
      <c r="G5073" s="20">
        <v>0</v>
      </c>
      <c r="H5073" s="19">
        <v>0</v>
      </c>
    </row>
    <row r="5074" spans="1:8" ht="18" customHeight="1" x14ac:dyDescent="0.15">
      <c r="A5074" s="251"/>
      <c r="B5074" s="23" t="s">
        <v>7</v>
      </c>
      <c r="C5074" s="22">
        <v>14</v>
      </c>
      <c r="D5074" s="21">
        <v>9075</v>
      </c>
      <c r="E5074" s="21">
        <v>2905</v>
      </c>
      <c r="F5074" s="20">
        <v>0</v>
      </c>
      <c r="G5074" s="20">
        <v>5670</v>
      </c>
      <c r="H5074" s="19">
        <v>500</v>
      </c>
    </row>
    <row r="5075" spans="1:8" ht="18" customHeight="1" x14ac:dyDescent="0.15">
      <c r="A5075" s="18" t="s">
        <v>6</v>
      </c>
      <c r="B5075" s="17" t="s">
        <v>5</v>
      </c>
      <c r="C5075" s="16">
        <v>3552</v>
      </c>
      <c r="D5075" s="15">
        <v>12609782</v>
      </c>
      <c r="E5075" s="15">
        <v>1212980</v>
      </c>
      <c r="F5075" s="14">
        <v>4896679</v>
      </c>
      <c r="G5075" s="14">
        <v>4940023</v>
      </c>
      <c r="H5075" s="13">
        <v>1560100</v>
      </c>
    </row>
    <row r="5076" spans="1:8" ht="18" customHeight="1" x14ac:dyDescent="0.15">
      <c r="A5076" s="252" t="s">
        <v>4</v>
      </c>
      <c r="B5076" s="12" t="s">
        <v>3</v>
      </c>
      <c r="C5076" s="11">
        <v>4962</v>
      </c>
      <c r="D5076" s="10">
        <v>72286561</v>
      </c>
      <c r="E5076" s="10">
        <v>43418480</v>
      </c>
      <c r="F5076" s="9">
        <v>13530494</v>
      </c>
      <c r="G5076" s="9">
        <v>10027388</v>
      </c>
      <c r="H5076" s="8">
        <v>5310197</v>
      </c>
    </row>
    <row r="5077" spans="1:8" ht="18" customHeight="1" thickBot="1" x14ac:dyDescent="0.2">
      <c r="A5077" s="253"/>
      <c r="B5077" s="7" t="s">
        <v>51</v>
      </c>
      <c r="C5077" s="6">
        <v>2978</v>
      </c>
      <c r="D5077" s="5" t="s">
        <v>1</v>
      </c>
      <c r="E5077" s="5" t="s">
        <v>1</v>
      </c>
      <c r="F5077" s="5" t="s">
        <v>1</v>
      </c>
      <c r="G5077" s="5" t="s">
        <v>1</v>
      </c>
      <c r="H5077" s="4" t="s">
        <v>54</v>
      </c>
    </row>
    <row r="5078" spans="1:8" ht="18" customHeight="1" x14ac:dyDescent="0.15">
      <c r="A5078" s="3" t="s">
        <v>53</v>
      </c>
      <c r="B5078" s="2"/>
      <c r="C5078" s="2"/>
      <c r="D5078" s="2"/>
      <c r="E5078" s="2"/>
      <c r="F5078" s="2"/>
      <c r="G5078" s="2"/>
      <c r="H5078" s="2"/>
    </row>
    <row r="5079" spans="1:8" ht="18" customHeight="1" x14ac:dyDescent="0.15">
      <c r="A5079" s="230" t="s">
        <v>52</v>
      </c>
      <c r="B5079" s="230"/>
      <c r="C5079" s="230"/>
      <c r="D5079" s="230"/>
      <c r="E5079" s="230"/>
      <c r="F5079" s="230"/>
      <c r="G5079" s="230"/>
      <c r="H5079" s="230"/>
    </row>
    <row r="5080" spans="1:8" ht="18" customHeight="1" x14ac:dyDescent="0.15">
      <c r="A5080" s="231"/>
      <c r="B5080" s="231"/>
      <c r="C5080" s="231"/>
      <c r="D5080" s="231"/>
      <c r="E5080" s="231"/>
      <c r="F5080" s="231"/>
      <c r="G5080" s="231"/>
      <c r="H5080" s="231"/>
    </row>
    <row r="5081" spans="1:8" ht="18" customHeight="1" thickBot="1" x14ac:dyDescent="0.2">
      <c r="A5081" s="58" t="s">
        <v>48</v>
      </c>
    </row>
    <row r="5082" spans="1:8" ht="18" customHeight="1" x14ac:dyDescent="0.15">
      <c r="A5082" s="262" t="s">
        <v>47</v>
      </c>
      <c r="B5082" s="265" t="s">
        <v>46</v>
      </c>
      <c r="C5082" s="268" t="s">
        <v>45</v>
      </c>
      <c r="D5082" s="271" t="s">
        <v>44</v>
      </c>
      <c r="E5082" s="57"/>
      <c r="F5082" s="56"/>
      <c r="G5082" s="56"/>
      <c r="H5082" s="55"/>
    </row>
    <row r="5083" spans="1:8" ht="18" customHeight="1" x14ac:dyDescent="0.15">
      <c r="A5083" s="263"/>
      <c r="B5083" s="266"/>
      <c r="C5083" s="269"/>
      <c r="D5083" s="272"/>
      <c r="E5083" s="258" t="s">
        <v>43</v>
      </c>
      <c r="F5083" s="254" t="s">
        <v>42</v>
      </c>
      <c r="G5083" s="254" t="s">
        <v>41</v>
      </c>
      <c r="H5083" s="260" t="s">
        <v>40</v>
      </c>
    </row>
    <row r="5084" spans="1:8" ht="18" customHeight="1" thickBot="1" x14ac:dyDescent="0.2">
      <c r="A5084" s="264"/>
      <c r="B5084" s="267"/>
      <c r="C5084" s="270"/>
      <c r="D5084" s="245"/>
      <c r="E5084" s="259"/>
      <c r="F5084" s="255"/>
      <c r="G5084" s="255"/>
      <c r="H5084" s="261"/>
    </row>
    <row r="5085" spans="1:8" ht="18" customHeight="1" thickTop="1" x14ac:dyDescent="0.15">
      <c r="A5085" s="54"/>
      <c r="B5085" s="53"/>
      <c r="C5085" s="52"/>
      <c r="D5085" s="51" t="s">
        <v>39</v>
      </c>
      <c r="E5085" s="50" t="s">
        <v>39</v>
      </c>
      <c r="F5085" s="49" t="s">
        <v>39</v>
      </c>
      <c r="G5085" s="49" t="s">
        <v>39</v>
      </c>
      <c r="H5085" s="48" t="s">
        <v>39</v>
      </c>
    </row>
    <row r="5086" spans="1:8" ht="18" customHeight="1" x14ac:dyDescent="0.15">
      <c r="A5086" s="250" t="s">
        <v>38</v>
      </c>
      <c r="B5086" s="47" t="s">
        <v>37</v>
      </c>
      <c r="C5086" s="46">
        <v>3547</v>
      </c>
      <c r="D5086" s="45">
        <v>452846429</v>
      </c>
      <c r="E5086" s="45">
        <v>175545633</v>
      </c>
      <c r="F5086" s="44">
        <v>138275354</v>
      </c>
      <c r="G5086" s="44">
        <v>132403538</v>
      </c>
      <c r="H5086" s="43">
        <v>6621903</v>
      </c>
    </row>
    <row r="5087" spans="1:8" ht="18" customHeight="1" x14ac:dyDescent="0.15">
      <c r="A5087" s="250"/>
      <c r="B5087" s="41" t="s">
        <v>36</v>
      </c>
      <c r="C5087" s="39">
        <v>20</v>
      </c>
      <c r="D5087" s="38">
        <v>226084</v>
      </c>
      <c r="E5087" s="38">
        <v>90946</v>
      </c>
      <c r="F5087" s="37">
        <v>118152</v>
      </c>
      <c r="G5087" s="37">
        <v>16985</v>
      </c>
      <c r="H5087" s="36">
        <v>0</v>
      </c>
    </row>
    <row r="5088" spans="1:8" ht="18" customHeight="1" x14ac:dyDescent="0.15">
      <c r="A5088" s="250"/>
      <c r="B5088" s="41" t="s">
        <v>35</v>
      </c>
      <c r="C5088" s="39">
        <v>18</v>
      </c>
      <c r="D5088" s="38">
        <v>814</v>
      </c>
      <c r="E5088" s="38">
        <v>757</v>
      </c>
      <c r="F5088" s="37">
        <v>3</v>
      </c>
      <c r="G5088" s="37">
        <v>31</v>
      </c>
      <c r="H5088" s="36">
        <v>22</v>
      </c>
    </row>
    <row r="5089" spans="1:8" ht="18" customHeight="1" x14ac:dyDescent="0.15">
      <c r="A5089" s="250"/>
      <c r="B5089" s="42" t="s">
        <v>34</v>
      </c>
      <c r="C5089" s="34">
        <v>1</v>
      </c>
      <c r="D5089" s="33">
        <v>135695</v>
      </c>
      <c r="E5089" s="33">
        <v>104430</v>
      </c>
      <c r="F5089" s="32">
        <v>5080</v>
      </c>
      <c r="G5089" s="32">
        <v>24108</v>
      </c>
      <c r="H5089" s="31">
        <v>2075</v>
      </c>
    </row>
    <row r="5090" spans="1:8" ht="18" customHeight="1" x14ac:dyDescent="0.15">
      <c r="A5090" s="250"/>
      <c r="B5090" s="41" t="s">
        <v>33</v>
      </c>
      <c r="C5090" s="39">
        <v>46</v>
      </c>
      <c r="D5090" s="38">
        <v>7214494</v>
      </c>
      <c r="E5090" s="38">
        <v>2171916</v>
      </c>
      <c r="F5090" s="37">
        <v>1691741</v>
      </c>
      <c r="G5090" s="37">
        <v>3333450</v>
      </c>
      <c r="H5090" s="36">
        <v>17385</v>
      </c>
    </row>
    <row r="5091" spans="1:8" ht="18" customHeight="1" x14ac:dyDescent="0.15">
      <c r="A5091" s="250"/>
      <c r="B5091" s="40" t="s">
        <v>32</v>
      </c>
      <c r="C5091" s="39">
        <v>114</v>
      </c>
      <c r="D5091" s="38">
        <v>8118121</v>
      </c>
      <c r="E5091" s="38">
        <v>2130152</v>
      </c>
      <c r="F5091" s="37">
        <v>1044360</v>
      </c>
      <c r="G5091" s="37">
        <v>4898242</v>
      </c>
      <c r="H5091" s="36">
        <v>45366</v>
      </c>
    </row>
    <row r="5092" spans="1:8" ht="18" customHeight="1" x14ac:dyDescent="0.15">
      <c r="A5092" s="251"/>
      <c r="B5092" s="35" t="s">
        <v>31</v>
      </c>
      <c r="C5092" s="34">
        <v>35</v>
      </c>
      <c r="D5092" s="33">
        <v>67359</v>
      </c>
      <c r="E5092" s="33">
        <v>57438</v>
      </c>
      <c r="F5092" s="32">
        <v>1705</v>
      </c>
      <c r="G5092" s="32">
        <v>7940</v>
      </c>
      <c r="H5092" s="31">
        <v>274</v>
      </c>
    </row>
    <row r="5093" spans="1:8" ht="18" customHeight="1" x14ac:dyDescent="0.15">
      <c r="A5093" s="30" t="s">
        <v>30</v>
      </c>
      <c r="B5093" s="29" t="s">
        <v>29</v>
      </c>
      <c r="C5093" s="28">
        <v>39</v>
      </c>
      <c r="D5093" s="15">
        <v>134095</v>
      </c>
      <c r="E5093" s="15">
        <v>131107</v>
      </c>
      <c r="F5093" s="14">
        <v>2704</v>
      </c>
      <c r="G5093" s="14">
        <v>0</v>
      </c>
      <c r="H5093" s="13">
        <v>282</v>
      </c>
    </row>
    <row r="5094" spans="1:8" ht="18" customHeight="1" x14ac:dyDescent="0.15">
      <c r="A5094" s="252" t="s">
        <v>28</v>
      </c>
      <c r="B5094" s="17" t="s">
        <v>27</v>
      </c>
      <c r="C5094" s="16">
        <v>2799</v>
      </c>
      <c r="D5094" s="27">
        <v>57051084</v>
      </c>
      <c r="E5094" s="27">
        <v>8777296</v>
      </c>
      <c r="F5094" s="26">
        <v>6556202</v>
      </c>
      <c r="G5094" s="26">
        <v>35518142</v>
      </c>
      <c r="H5094" s="25">
        <v>6199442</v>
      </c>
    </row>
    <row r="5095" spans="1:8" ht="18" customHeight="1" x14ac:dyDescent="0.15">
      <c r="A5095" s="250"/>
      <c r="B5095" s="23" t="s">
        <v>26</v>
      </c>
      <c r="C5095" s="22">
        <v>3536</v>
      </c>
      <c r="D5095" s="21">
        <v>17018315</v>
      </c>
      <c r="E5095" s="21">
        <v>679819</v>
      </c>
      <c r="F5095" s="20">
        <v>3321973</v>
      </c>
      <c r="G5095" s="20">
        <v>10956824</v>
      </c>
      <c r="H5095" s="19">
        <v>2059698</v>
      </c>
    </row>
    <row r="5096" spans="1:8" ht="18" customHeight="1" x14ac:dyDescent="0.15">
      <c r="A5096" s="250"/>
      <c r="B5096" s="24" t="s">
        <v>25</v>
      </c>
      <c r="C5096" s="22">
        <v>615</v>
      </c>
      <c r="D5096" s="21">
        <v>36587792</v>
      </c>
      <c r="E5096" s="21">
        <v>2084904</v>
      </c>
      <c r="F5096" s="20">
        <v>5205362</v>
      </c>
      <c r="G5096" s="20">
        <v>24074823</v>
      </c>
      <c r="H5096" s="19">
        <v>5222701</v>
      </c>
    </row>
    <row r="5097" spans="1:8" ht="18" customHeight="1" x14ac:dyDescent="0.15">
      <c r="A5097" s="250"/>
      <c r="B5097" s="23" t="s">
        <v>24</v>
      </c>
      <c r="C5097" s="22">
        <v>1232</v>
      </c>
      <c r="D5097" s="21">
        <v>39863300</v>
      </c>
      <c r="E5097" s="21">
        <v>3413014</v>
      </c>
      <c r="F5097" s="20">
        <v>5935190</v>
      </c>
      <c r="G5097" s="20">
        <v>27384672</v>
      </c>
      <c r="H5097" s="19">
        <v>3130422</v>
      </c>
    </row>
    <row r="5098" spans="1:8" ht="18" customHeight="1" x14ac:dyDescent="0.15">
      <c r="A5098" s="250"/>
      <c r="B5098" s="23" t="s">
        <v>23</v>
      </c>
      <c r="C5098" s="22">
        <v>132</v>
      </c>
      <c r="D5098" s="21">
        <v>6036621</v>
      </c>
      <c r="E5098" s="21">
        <v>66167</v>
      </c>
      <c r="F5098" s="20">
        <v>204298</v>
      </c>
      <c r="G5098" s="20">
        <v>5649801</v>
      </c>
      <c r="H5098" s="19">
        <v>116354</v>
      </c>
    </row>
    <row r="5099" spans="1:8" ht="18" customHeight="1" x14ac:dyDescent="0.15">
      <c r="A5099" s="250"/>
      <c r="B5099" s="23" t="s">
        <v>22</v>
      </c>
      <c r="C5099" s="22">
        <v>85</v>
      </c>
      <c r="D5099" s="21">
        <v>914600</v>
      </c>
      <c r="E5099" s="21">
        <v>197110</v>
      </c>
      <c r="F5099" s="20">
        <v>47050</v>
      </c>
      <c r="G5099" s="20">
        <v>471420</v>
      </c>
      <c r="H5099" s="19">
        <v>199020</v>
      </c>
    </row>
    <row r="5100" spans="1:8" ht="18" customHeight="1" x14ac:dyDescent="0.15">
      <c r="A5100" s="250"/>
      <c r="B5100" s="23" t="s">
        <v>21</v>
      </c>
      <c r="C5100" s="22">
        <v>37</v>
      </c>
      <c r="D5100" s="21">
        <v>371011</v>
      </c>
      <c r="E5100" s="21">
        <v>120560</v>
      </c>
      <c r="F5100" s="20">
        <v>24056</v>
      </c>
      <c r="G5100" s="20">
        <v>158078</v>
      </c>
      <c r="H5100" s="19">
        <v>68317</v>
      </c>
    </row>
    <row r="5101" spans="1:8" ht="18" customHeight="1" x14ac:dyDescent="0.15">
      <c r="A5101" s="250"/>
      <c r="B5101" s="23" t="s">
        <v>20</v>
      </c>
      <c r="C5101" s="22">
        <v>0</v>
      </c>
      <c r="D5101" s="21">
        <v>0</v>
      </c>
      <c r="E5101" s="21">
        <v>0</v>
      </c>
      <c r="F5101" s="20">
        <v>0</v>
      </c>
      <c r="G5101" s="20">
        <v>0</v>
      </c>
      <c r="H5101" s="19">
        <v>0</v>
      </c>
    </row>
    <row r="5102" spans="1:8" ht="18" customHeight="1" x14ac:dyDescent="0.15">
      <c r="A5102" s="250"/>
      <c r="B5102" s="23" t="s">
        <v>19</v>
      </c>
      <c r="C5102" s="22">
        <v>261</v>
      </c>
      <c r="D5102" s="21">
        <v>12046010</v>
      </c>
      <c r="E5102" s="21">
        <v>937470</v>
      </c>
      <c r="F5102" s="20">
        <v>3952740</v>
      </c>
      <c r="G5102" s="20">
        <v>3794120</v>
      </c>
      <c r="H5102" s="19">
        <v>3361680</v>
      </c>
    </row>
    <row r="5103" spans="1:8" ht="18" customHeight="1" x14ac:dyDescent="0.15">
      <c r="A5103" s="250"/>
      <c r="B5103" s="23" t="s">
        <v>18</v>
      </c>
      <c r="C5103" s="22">
        <v>2826</v>
      </c>
      <c r="D5103" s="21">
        <v>60708206</v>
      </c>
      <c r="E5103" s="21">
        <v>10298714</v>
      </c>
      <c r="F5103" s="20">
        <v>8076009</v>
      </c>
      <c r="G5103" s="20">
        <v>35840913</v>
      </c>
      <c r="H5103" s="19">
        <v>6492568</v>
      </c>
    </row>
    <row r="5104" spans="1:8" ht="18" customHeight="1" x14ac:dyDescent="0.15">
      <c r="A5104" s="250"/>
      <c r="B5104" s="23" t="s">
        <v>17</v>
      </c>
      <c r="C5104" s="22">
        <v>569</v>
      </c>
      <c r="D5104" s="21">
        <v>16107834</v>
      </c>
      <c r="E5104" s="21">
        <v>1981835</v>
      </c>
      <c r="F5104" s="20">
        <v>1520268</v>
      </c>
      <c r="G5104" s="20">
        <v>11509992</v>
      </c>
      <c r="H5104" s="19">
        <v>1095737</v>
      </c>
    </row>
    <row r="5105" spans="1:8" ht="18" customHeight="1" x14ac:dyDescent="0.15">
      <c r="A5105" s="250"/>
      <c r="B5105" s="23" t="s">
        <v>16</v>
      </c>
      <c r="C5105" s="22">
        <v>43696</v>
      </c>
      <c r="D5105" s="21">
        <v>11623341</v>
      </c>
      <c r="E5105" s="21">
        <v>299897</v>
      </c>
      <c r="F5105" s="20">
        <v>6948917</v>
      </c>
      <c r="G5105" s="20">
        <v>4181861</v>
      </c>
      <c r="H5105" s="19">
        <v>192665</v>
      </c>
    </row>
    <row r="5106" spans="1:8" ht="18" customHeight="1" x14ac:dyDescent="0.15">
      <c r="A5106" s="250"/>
      <c r="B5106" s="23" t="s">
        <v>15</v>
      </c>
      <c r="C5106" s="22">
        <v>105</v>
      </c>
      <c r="D5106" s="21">
        <v>1320898</v>
      </c>
      <c r="E5106" s="21">
        <v>10861</v>
      </c>
      <c r="F5106" s="20">
        <v>1033688</v>
      </c>
      <c r="G5106" s="20">
        <v>269549</v>
      </c>
      <c r="H5106" s="19">
        <v>6800</v>
      </c>
    </row>
    <row r="5107" spans="1:8" ht="18" customHeight="1" x14ac:dyDescent="0.15">
      <c r="A5107" s="250"/>
      <c r="B5107" s="23" t="s">
        <v>14</v>
      </c>
      <c r="C5107" s="22">
        <v>38</v>
      </c>
      <c r="D5107" s="21">
        <v>757800</v>
      </c>
      <c r="E5107" s="21">
        <v>123302</v>
      </c>
      <c r="F5107" s="20">
        <v>116200</v>
      </c>
      <c r="G5107" s="20">
        <v>425098</v>
      </c>
      <c r="H5107" s="19">
        <v>93200</v>
      </c>
    </row>
    <row r="5108" spans="1:8" ht="18" customHeight="1" x14ac:dyDescent="0.15">
      <c r="A5108" s="250"/>
      <c r="B5108" s="23" t="s">
        <v>13</v>
      </c>
      <c r="C5108" s="22">
        <v>472</v>
      </c>
      <c r="D5108" s="21">
        <v>2006699</v>
      </c>
      <c r="E5108" s="21">
        <v>394553</v>
      </c>
      <c r="F5108" s="20">
        <v>994192</v>
      </c>
      <c r="G5108" s="20">
        <v>559554</v>
      </c>
      <c r="H5108" s="19">
        <v>58400</v>
      </c>
    </row>
    <row r="5109" spans="1:8" ht="18" customHeight="1" x14ac:dyDescent="0.15">
      <c r="A5109" s="250"/>
      <c r="B5109" s="23" t="s">
        <v>12</v>
      </c>
      <c r="C5109" s="22">
        <v>339</v>
      </c>
      <c r="D5109" s="21">
        <v>9055956</v>
      </c>
      <c r="E5109" s="21">
        <v>1122686</v>
      </c>
      <c r="F5109" s="20">
        <v>1967964</v>
      </c>
      <c r="G5109" s="20">
        <v>5277904</v>
      </c>
      <c r="H5109" s="19">
        <v>687400</v>
      </c>
    </row>
    <row r="5110" spans="1:8" ht="18" customHeight="1" x14ac:dyDescent="0.15">
      <c r="A5110" s="250"/>
      <c r="B5110" s="23" t="s">
        <v>11</v>
      </c>
      <c r="C5110" s="22">
        <v>39</v>
      </c>
      <c r="D5110" s="21">
        <v>1603200</v>
      </c>
      <c r="E5110" s="21">
        <v>100900</v>
      </c>
      <c r="F5110" s="20">
        <v>639400</v>
      </c>
      <c r="G5110" s="20">
        <v>754000</v>
      </c>
      <c r="H5110" s="19">
        <v>108900</v>
      </c>
    </row>
    <row r="5111" spans="1:8" ht="18" customHeight="1" x14ac:dyDescent="0.15">
      <c r="A5111" s="250"/>
      <c r="B5111" s="23" t="s">
        <v>10</v>
      </c>
      <c r="C5111" s="22">
        <v>0</v>
      </c>
      <c r="D5111" s="21">
        <v>0</v>
      </c>
      <c r="E5111" s="21">
        <v>0</v>
      </c>
      <c r="F5111" s="20">
        <v>0</v>
      </c>
      <c r="G5111" s="20">
        <v>0</v>
      </c>
      <c r="H5111" s="19">
        <v>0</v>
      </c>
    </row>
    <row r="5112" spans="1:8" ht="18" customHeight="1" x14ac:dyDescent="0.15">
      <c r="A5112" s="250"/>
      <c r="B5112" s="23" t="s">
        <v>9</v>
      </c>
      <c r="C5112" s="22">
        <v>16</v>
      </c>
      <c r="D5112" s="21">
        <v>500800</v>
      </c>
      <c r="E5112" s="21">
        <v>200</v>
      </c>
      <c r="F5112" s="20">
        <v>195800</v>
      </c>
      <c r="G5112" s="20">
        <v>302700</v>
      </c>
      <c r="H5112" s="19">
        <v>2100</v>
      </c>
    </row>
    <row r="5113" spans="1:8" ht="18" customHeight="1" x14ac:dyDescent="0.15">
      <c r="A5113" s="250"/>
      <c r="B5113" s="23" t="s">
        <v>8</v>
      </c>
      <c r="C5113" s="22">
        <v>0</v>
      </c>
      <c r="D5113" s="21">
        <v>0</v>
      </c>
      <c r="E5113" s="21">
        <v>0</v>
      </c>
      <c r="F5113" s="20">
        <v>0</v>
      </c>
      <c r="G5113" s="20">
        <v>0</v>
      </c>
      <c r="H5113" s="19">
        <v>0</v>
      </c>
    </row>
    <row r="5114" spans="1:8" ht="18" customHeight="1" x14ac:dyDescent="0.15">
      <c r="A5114" s="251"/>
      <c r="B5114" s="23" t="s">
        <v>7</v>
      </c>
      <c r="C5114" s="22">
        <v>14</v>
      </c>
      <c r="D5114" s="21">
        <v>9075</v>
      </c>
      <c r="E5114" s="21">
        <v>2905</v>
      </c>
      <c r="F5114" s="20">
        <v>0</v>
      </c>
      <c r="G5114" s="20">
        <v>5670</v>
      </c>
      <c r="H5114" s="19">
        <v>500</v>
      </c>
    </row>
    <row r="5115" spans="1:8" ht="18" customHeight="1" x14ac:dyDescent="0.15">
      <c r="A5115" s="18" t="s">
        <v>6</v>
      </c>
      <c r="B5115" s="17" t="s">
        <v>5</v>
      </c>
      <c r="C5115" s="16">
        <v>3703</v>
      </c>
      <c r="D5115" s="15">
        <v>15668576</v>
      </c>
      <c r="E5115" s="15">
        <v>1374180</v>
      </c>
      <c r="F5115" s="14">
        <v>6705537</v>
      </c>
      <c r="G5115" s="14">
        <v>5371059</v>
      </c>
      <c r="H5115" s="13">
        <v>2217800</v>
      </c>
    </row>
    <row r="5116" spans="1:8" ht="18" customHeight="1" x14ac:dyDescent="0.15">
      <c r="A5116" s="252" t="s">
        <v>4</v>
      </c>
      <c r="B5116" s="12" t="s">
        <v>3</v>
      </c>
      <c r="C5116" s="11">
        <v>4912</v>
      </c>
      <c r="D5116" s="10">
        <v>71854499</v>
      </c>
      <c r="E5116" s="10">
        <v>43511910</v>
      </c>
      <c r="F5116" s="9">
        <v>13232488</v>
      </c>
      <c r="G5116" s="9">
        <v>9895580</v>
      </c>
      <c r="H5116" s="8">
        <v>5214520</v>
      </c>
    </row>
    <row r="5117" spans="1:8" ht="18" customHeight="1" thickBot="1" x14ac:dyDescent="0.2">
      <c r="A5117" s="253"/>
      <c r="B5117" s="7" t="s">
        <v>51</v>
      </c>
      <c r="C5117" s="6">
        <v>2935</v>
      </c>
      <c r="D5117" s="5" t="s">
        <v>1</v>
      </c>
      <c r="E5117" s="5" t="s">
        <v>1</v>
      </c>
      <c r="F5117" s="5" t="s">
        <v>1</v>
      </c>
      <c r="G5117" s="5" t="s">
        <v>1</v>
      </c>
      <c r="H5117" s="4" t="s">
        <v>1</v>
      </c>
    </row>
    <row r="5118" spans="1:8" ht="18" customHeight="1" x14ac:dyDescent="0.15">
      <c r="A5118" s="3" t="s">
        <v>50</v>
      </c>
      <c r="B5118" s="2"/>
      <c r="C5118" s="2"/>
      <c r="D5118" s="2"/>
      <c r="E5118" s="2"/>
      <c r="F5118" s="2"/>
      <c r="G5118" s="2"/>
      <c r="H5118" s="2"/>
    </row>
    <row r="5119" spans="1:8" ht="18" customHeight="1" x14ac:dyDescent="0.15">
      <c r="A5119" s="230" t="s">
        <v>49</v>
      </c>
      <c r="B5119" s="230"/>
      <c r="C5119" s="230"/>
      <c r="D5119" s="230"/>
      <c r="E5119" s="230"/>
      <c r="F5119" s="230"/>
      <c r="G5119" s="230"/>
      <c r="H5119" s="230"/>
    </row>
    <row r="5120" spans="1:8" ht="18" customHeight="1" x14ac:dyDescent="0.15">
      <c r="A5120" s="231"/>
      <c r="B5120" s="231"/>
      <c r="C5120" s="231"/>
      <c r="D5120" s="231"/>
      <c r="E5120" s="231"/>
      <c r="F5120" s="231"/>
      <c r="G5120" s="231"/>
      <c r="H5120" s="231"/>
    </row>
    <row r="5121" spans="1:8" ht="18" customHeight="1" thickBot="1" x14ac:dyDescent="0.2">
      <c r="A5121" s="58" t="s">
        <v>48</v>
      </c>
    </row>
    <row r="5122" spans="1:8" ht="18" customHeight="1" x14ac:dyDescent="0.15">
      <c r="A5122" s="262" t="s">
        <v>47</v>
      </c>
      <c r="B5122" s="265" t="s">
        <v>46</v>
      </c>
      <c r="C5122" s="268" t="s">
        <v>45</v>
      </c>
      <c r="D5122" s="271" t="s">
        <v>44</v>
      </c>
      <c r="E5122" s="57"/>
      <c r="F5122" s="56"/>
      <c r="G5122" s="56"/>
      <c r="H5122" s="55"/>
    </row>
    <row r="5123" spans="1:8" ht="18" customHeight="1" x14ac:dyDescent="0.15">
      <c r="A5123" s="263"/>
      <c r="B5123" s="266"/>
      <c r="C5123" s="269"/>
      <c r="D5123" s="272"/>
      <c r="E5123" s="258" t="s">
        <v>43</v>
      </c>
      <c r="F5123" s="254" t="s">
        <v>42</v>
      </c>
      <c r="G5123" s="254" t="s">
        <v>41</v>
      </c>
      <c r="H5123" s="260" t="s">
        <v>40</v>
      </c>
    </row>
    <row r="5124" spans="1:8" ht="18" customHeight="1" thickBot="1" x14ac:dyDescent="0.2">
      <c r="A5124" s="264"/>
      <c r="B5124" s="267"/>
      <c r="C5124" s="270"/>
      <c r="D5124" s="245"/>
      <c r="E5124" s="259"/>
      <c r="F5124" s="255"/>
      <c r="G5124" s="255"/>
      <c r="H5124" s="261"/>
    </row>
    <row r="5125" spans="1:8" ht="18" customHeight="1" thickTop="1" x14ac:dyDescent="0.15">
      <c r="A5125" s="54"/>
      <c r="B5125" s="53"/>
      <c r="C5125" s="52"/>
      <c r="D5125" s="51" t="s">
        <v>39</v>
      </c>
      <c r="E5125" s="50" t="s">
        <v>39</v>
      </c>
      <c r="F5125" s="49" t="s">
        <v>39</v>
      </c>
      <c r="G5125" s="49" t="s">
        <v>39</v>
      </c>
      <c r="H5125" s="48" t="s">
        <v>39</v>
      </c>
    </row>
    <row r="5126" spans="1:8" ht="18" customHeight="1" x14ac:dyDescent="0.15">
      <c r="A5126" s="250" t="s">
        <v>38</v>
      </c>
      <c r="B5126" s="47" t="s">
        <v>37</v>
      </c>
      <c r="C5126" s="46">
        <v>3547</v>
      </c>
      <c r="D5126" s="45">
        <v>456431493</v>
      </c>
      <c r="E5126" s="45">
        <v>177182267</v>
      </c>
      <c r="F5126" s="44">
        <v>139361431</v>
      </c>
      <c r="G5126" s="44">
        <v>132769714</v>
      </c>
      <c r="H5126" s="43">
        <v>7118081</v>
      </c>
    </row>
    <row r="5127" spans="1:8" ht="18" customHeight="1" x14ac:dyDescent="0.15">
      <c r="A5127" s="250"/>
      <c r="B5127" s="41" t="s">
        <v>36</v>
      </c>
      <c r="C5127" s="39">
        <v>20</v>
      </c>
      <c r="D5127" s="38">
        <v>264267</v>
      </c>
      <c r="E5127" s="38">
        <v>108131</v>
      </c>
      <c r="F5127" s="37">
        <v>140457</v>
      </c>
      <c r="G5127" s="37">
        <v>15678</v>
      </c>
      <c r="H5127" s="36">
        <v>0</v>
      </c>
    </row>
    <row r="5128" spans="1:8" ht="18" customHeight="1" x14ac:dyDescent="0.15">
      <c r="A5128" s="250"/>
      <c r="B5128" s="41" t="s">
        <v>35</v>
      </c>
      <c r="C5128" s="39">
        <v>21</v>
      </c>
      <c r="D5128" s="38">
        <v>688</v>
      </c>
      <c r="E5128" s="38">
        <v>661</v>
      </c>
      <c r="F5128" s="37">
        <v>19</v>
      </c>
      <c r="G5128" s="37">
        <v>6</v>
      </c>
      <c r="H5128" s="36">
        <v>1</v>
      </c>
    </row>
    <row r="5129" spans="1:8" ht="18" customHeight="1" x14ac:dyDescent="0.15">
      <c r="A5129" s="250"/>
      <c r="B5129" s="42" t="s">
        <v>34</v>
      </c>
      <c r="C5129" s="34">
        <v>1</v>
      </c>
      <c r="D5129" s="33">
        <v>135907</v>
      </c>
      <c r="E5129" s="33">
        <v>104568</v>
      </c>
      <c r="F5129" s="32">
        <v>5092</v>
      </c>
      <c r="G5129" s="32">
        <v>24145</v>
      </c>
      <c r="H5129" s="31">
        <v>2101</v>
      </c>
    </row>
    <row r="5130" spans="1:8" ht="18" customHeight="1" x14ac:dyDescent="0.15">
      <c r="A5130" s="250"/>
      <c r="B5130" s="41" t="s">
        <v>33</v>
      </c>
      <c r="C5130" s="39">
        <v>46</v>
      </c>
      <c r="D5130" s="38">
        <v>7147251</v>
      </c>
      <c r="E5130" s="38">
        <v>2129314</v>
      </c>
      <c r="F5130" s="37">
        <v>1744434</v>
      </c>
      <c r="G5130" s="37">
        <v>3256029</v>
      </c>
      <c r="H5130" s="36">
        <v>17473</v>
      </c>
    </row>
    <row r="5131" spans="1:8" ht="18" customHeight="1" x14ac:dyDescent="0.15">
      <c r="A5131" s="250"/>
      <c r="B5131" s="40" t="s">
        <v>32</v>
      </c>
      <c r="C5131" s="39">
        <v>112</v>
      </c>
      <c r="D5131" s="38">
        <v>7751252</v>
      </c>
      <c r="E5131" s="38">
        <v>1956604</v>
      </c>
      <c r="F5131" s="37">
        <v>905001</v>
      </c>
      <c r="G5131" s="37">
        <v>4815844</v>
      </c>
      <c r="H5131" s="36">
        <v>73801</v>
      </c>
    </row>
    <row r="5132" spans="1:8" ht="18" customHeight="1" x14ac:dyDescent="0.15">
      <c r="A5132" s="251"/>
      <c r="B5132" s="35" t="s">
        <v>31</v>
      </c>
      <c r="C5132" s="34">
        <v>35</v>
      </c>
      <c r="D5132" s="33">
        <v>63978</v>
      </c>
      <c r="E5132" s="33">
        <v>55216</v>
      </c>
      <c r="F5132" s="32">
        <v>1677</v>
      </c>
      <c r="G5132" s="32">
        <v>6850</v>
      </c>
      <c r="H5132" s="31">
        <v>234</v>
      </c>
    </row>
    <row r="5133" spans="1:8" ht="18" customHeight="1" x14ac:dyDescent="0.15">
      <c r="A5133" s="30" t="s">
        <v>30</v>
      </c>
      <c r="B5133" s="29" t="s">
        <v>29</v>
      </c>
      <c r="C5133" s="28">
        <v>38</v>
      </c>
      <c r="D5133" s="15">
        <v>79885</v>
      </c>
      <c r="E5133" s="15">
        <v>78354</v>
      </c>
      <c r="F5133" s="14">
        <v>1482</v>
      </c>
      <c r="G5133" s="14">
        <v>0</v>
      </c>
      <c r="H5133" s="13">
        <v>49</v>
      </c>
    </row>
    <row r="5134" spans="1:8" ht="18" customHeight="1" x14ac:dyDescent="0.15">
      <c r="A5134" s="252" t="s">
        <v>28</v>
      </c>
      <c r="B5134" s="17" t="s">
        <v>27</v>
      </c>
      <c r="C5134" s="16">
        <v>2796</v>
      </c>
      <c r="D5134" s="27">
        <v>56991053</v>
      </c>
      <c r="E5134" s="27">
        <v>8802446</v>
      </c>
      <c r="F5134" s="26">
        <v>6421167</v>
      </c>
      <c r="G5134" s="26">
        <v>35645441</v>
      </c>
      <c r="H5134" s="25">
        <v>6121998</v>
      </c>
    </row>
    <row r="5135" spans="1:8" ht="18" customHeight="1" x14ac:dyDescent="0.15">
      <c r="A5135" s="250"/>
      <c r="B5135" s="23" t="s">
        <v>26</v>
      </c>
      <c r="C5135" s="22">
        <v>3547</v>
      </c>
      <c r="D5135" s="21">
        <v>17132484</v>
      </c>
      <c r="E5135" s="21">
        <v>692317</v>
      </c>
      <c r="F5135" s="20">
        <v>3351345</v>
      </c>
      <c r="G5135" s="20">
        <v>11022933</v>
      </c>
      <c r="H5135" s="19">
        <v>2065888</v>
      </c>
    </row>
    <row r="5136" spans="1:8" ht="18" customHeight="1" x14ac:dyDescent="0.15">
      <c r="A5136" s="250"/>
      <c r="B5136" s="24" t="s">
        <v>25</v>
      </c>
      <c r="C5136" s="22">
        <v>617</v>
      </c>
      <c r="D5136" s="21">
        <v>36627549</v>
      </c>
      <c r="E5136" s="21">
        <v>2137231</v>
      </c>
      <c r="F5136" s="20">
        <v>5139721</v>
      </c>
      <c r="G5136" s="20">
        <v>24207632</v>
      </c>
      <c r="H5136" s="19">
        <v>5142963</v>
      </c>
    </row>
    <row r="5137" spans="1:8" ht="18" customHeight="1" x14ac:dyDescent="0.15">
      <c r="A5137" s="250"/>
      <c r="B5137" s="23" t="s">
        <v>24</v>
      </c>
      <c r="C5137" s="22">
        <v>1215</v>
      </c>
      <c r="D5137" s="21">
        <v>39499800</v>
      </c>
      <c r="E5137" s="21">
        <v>3345068</v>
      </c>
      <c r="F5137" s="20">
        <v>5851160</v>
      </c>
      <c r="G5137" s="20">
        <v>27210759</v>
      </c>
      <c r="H5137" s="19">
        <v>3092812</v>
      </c>
    </row>
    <row r="5138" spans="1:8" ht="18" customHeight="1" x14ac:dyDescent="0.15">
      <c r="A5138" s="250"/>
      <c r="B5138" s="23" t="s">
        <v>23</v>
      </c>
      <c r="C5138" s="22">
        <v>134</v>
      </c>
      <c r="D5138" s="21">
        <v>6201021</v>
      </c>
      <c r="E5138" s="21">
        <v>64271</v>
      </c>
      <c r="F5138" s="20">
        <v>210826</v>
      </c>
      <c r="G5138" s="20">
        <v>5810546</v>
      </c>
      <c r="H5138" s="19">
        <v>115377</v>
      </c>
    </row>
    <row r="5139" spans="1:8" ht="18" customHeight="1" x14ac:dyDescent="0.15">
      <c r="A5139" s="250"/>
      <c r="B5139" s="23" t="s">
        <v>22</v>
      </c>
      <c r="C5139" s="22">
        <v>81</v>
      </c>
      <c r="D5139" s="21">
        <v>869600</v>
      </c>
      <c r="E5139" s="21">
        <v>188610</v>
      </c>
      <c r="F5139" s="20">
        <v>42250</v>
      </c>
      <c r="G5139" s="20">
        <v>457720</v>
      </c>
      <c r="H5139" s="19">
        <v>181020</v>
      </c>
    </row>
    <row r="5140" spans="1:8" ht="18" customHeight="1" x14ac:dyDescent="0.15">
      <c r="A5140" s="250"/>
      <c r="B5140" s="23" t="s">
        <v>21</v>
      </c>
      <c r="C5140" s="22">
        <v>37</v>
      </c>
      <c r="D5140" s="21">
        <v>371011</v>
      </c>
      <c r="E5140" s="21">
        <v>120560</v>
      </c>
      <c r="F5140" s="20">
        <v>24056</v>
      </c>
      <c r="G5140" s="20">
        <v>158078</v>
      </c>
      <c r="H5140" s="19">
        <v>68317</v>
      </c>
    </row>
    <row r="5141" spans="1:8" ht="18" customHeight="1" x14ac:dyDescent="0.15">
      <c r="A5141" s="250"/>
      <c r="B5141" s="23" t="s">
        <v>20</v>
      </c>
      <c r="C5141" s="22">
        <v>0</v>
      </c>
      <c r="D5141" s="21">
        <v>0</v>
      </c>
      <c r="E5141" s="21">
        <v>0</v>
      </c>
      <c r="F5141" s="20">
        <v>0</v>
      </c>
      <c r="G5141" s="20">
        <v>0</v>
      </c>
      <c r="H5141" s="19">
        <v>0</v>
      </c>
    </row>
    <row r="5142" spans="1:8" ht="18" customHeight="1" x14ac:dyDescent="0.15">
      <c r="A5142" s="250"/>
      <c r="B5142" s="23" t="s">
        <v>19</v>
      </c>
      <c r="C5142" s="22">
        <v>261</v>
      </c>
      <c r="D5142" s="21">
        <v>12116650</v>
      </c>
      <c r="E5142" s="21">
        <v>936720</v>
      </c>
      <c r="F5142" s="20">
        <v>3983320</v>
      </c>
      <c r="G5142" s="20">
        <v>3834890</v>
      </c>
      <c r="H5142" s="19">
        <v>3361720</v>
      </c>
    </row>
    <row r="5143" spans="1:8" ht="18" customHeight="1" x14ac:dyDescent="0.15">
      <c r="A5143" s="250"/>
      <c r="B5143" s="23" t="s">
        <v>18</v>
      </c>
      <c r="C5143" s="22">
        <v>2816</v>
      </c>
      <c r="D5143" s="21">
        <v>60781606</v>
      </c>
      <c r="E5143" s="21">
        <v>10286706</v>
      </c>
      <c r="F5143" s="20">
        <v>8028249</v>
      </c>
      <c r="G5143" s="20">
        <v>35947298</v>
      </c>
      <c r="H5143" s="19">
        <v>6519352</v>
      </c>
    </row>
    <row r="5144" spans="1:8" ht="18" customHeight="1" x14ac:dyDescent="0.15">
      <c r="A5144" s="250"/>
      <c r="B5144" s="23" t="s">
        <v>17</v>
      </c>
      <c r="C5144" s="22">
        <v>564</v>
      </c>
      <c r="D5144" s="21">
        <v>16145934</v>
      </c>
      <c r="E5144" s="21">
        <v>1979671</v>
      </c>
      <c r="F5144" s="20">
        <v>1513540</v>
      </c>
      <c r="G5144" s="20">
        <v>11567017</v>
      </c>
      <c r="H5144" s="19">
        <v>1085704</v>
      </c>
    </row>
    <row r="5145" spans="1:8" ht="18" customHeight="1" x14ac:dyDescent="0.15">
      <c r="A5145" s="250"/>
      <c r="B5145" s="23" t="s">
        <v>16</v>
      </c>
      <c r="C5145" s="22">
        <v>43908</v>
      </c>
      <c r="D5145" s="21">
        <v>11661923</v>
      </c>
      <c r="E5145" s="21">
        <v>297597</v>
      </c>
      <c r="F5145" s="20">
        <v>7003421</v>
      </c>
      <c r="G5145" s="20">
        <v>4171689</v>
      </c>
      <c r="H5145" s="19">
        <v>189215</v>
      </c>
    </row>
    <row r="5146" spans="1:8" ht="18" customHeight="1" x14ac:dyDescent="0.15">
      <c r="A5146" s="250"/>
      <c r="B5146" s="23" t="s">
        <v>15</v>
      </c>
      <c r="C5146" s="22">
        <v>105</v>
      </c>
      <c r="D5146" s="21">
        <v>1320898</v>
      </c>
      <c r="E5146" s="21">
        <v>10861</v>
      </c>
      <c r="F5146" s="20">
        <v>1033688</v>
      </c>
      <c r="G5146" s="20">
        <v>269549</v>
      </c>
      <c r="H5146" s="19">
        <v>6800</v>
      </c>
    </row>
    <row r="5147" spans="1:8" ht="18" customHeight="1" x14ac:dyDescent="0.15">
      <c r="A5147" s="250"/>
      <c r="B5147" s="23" t="s">
        <v>14</v>
      </c>
      <c r="C5147" s="22">
        <v>36</v>
      </c>
      <c r="D5147" s="21">
        <v>752300</v>
      </c>
      <c r="E5147" s="21">
        <v>121102</v>
      </c>
      <c r="F5147" s="20">
        <v>114900</v>
      </c>
      <c r="G5147" s="20">
        <v>424298</v>
      </c>
      <c r="H5147" s="19">
        <v>92000</v>
      </c>
    </row>
    <row r="5148" spans="1:8" ht="18" customHeight="1" x14ac:dyDescent="0.15">
      <c r="A5148" s="250"/>
      <c r="B5148" s="23" t="s">
        <v>13</v>
      </c>
      <c r="C5148" s="22">
        <v>473</v>
      </c>
      <c r="D5148" s="21">
        <v>2104810</v>
      </c>
      <c r="E5148" s="21">
        <v>403793</v>
      </c>
      <c r="F5148" s="20">
        <v>995593</v>
      </c>
      <c r="G5148" s="20">
        <v>647024</v>
      </c>
      <c r="H5148" s="19">
        <v>58400</v>
      </c>
    </row>
    <row r="5149" spans="1:8" ht="18" customHeight="1" x14ac:dyDescent="0.15">
      <c r="A5149" s="250"/>
      <c r="B5149" s="23" t="s">
        <v>12</v>
      </c>
      <c r="C5149" s="22">
        <v>344</v>
      </c>
      <c r="D5149" s="21">
        <v>9312556</v>
      </c>
      <c r="E5149" s="21">
        <v>1133886</v>
      </c>
      <c r="F5149" s="20">
        <v>1976964</v>
      </c>
      <c r="G5149" s="20">
        <v>5479704</v>
      </c>
      <c r="H5149" s="19">
        <v>722000</v>
      </c>
    </row>
    <row r="5150" spans="1:8" ht="18" customHeight="1" x14ac:dyDescent="0.15">
      <c r="A5150" s="250"/>
      <c r="B5150" s="23" t="s">
        <v>11</v>
      </c>
      <c r="C5150" s="22">
        <v>39</v>
      </c>
      <c r="D5150" s="21">
        <v>1603200</v>
      </c>
      <c r="E5150" s="21">
        <v>100900</v>
      </c>
      <c r="F5150" s="20">
        <v>639200</v>
      </c>
      <c r="G5150" s="20">
        <v>754200</v>
      </c>
      <c r="H5150" s="19">
        <v>108900</v>
      </c>
    </row>
    <row r="5151" spans="1:8" ht="18" customHeight="1" x14ac:dyDescent="0.15">
      <c r="A5151" s="250"/>
      <c r="B5151" s="23" t="s">
        <v>10</v>
      </c>
      <c r="C5151" s="22">
        <v>0</v>
      </c>
      <c r="D5151" s="21">
        <v>0</v>
      </c>
      <c r="E5151" s="21">
        <v>0</v>
      </c>
      <c r="F5151" s="20">
        <v>0</v>
      </c>
      <c r="G5151" s="20">
        <v>0</v>
      </c>
      <c r="H5151" s="19">
        <v>0</v>
      </c>
    </row>
    <row r="5152" spans="1:8" ht="18" customHeight="1" x14ac:dyDescent="0.15">
      <c r="A5152" s="250"/>
      <c r="B5152" s="23" t="s">
        <v>9</v>
      </c>
      <c r="C5152" s="22">
        <v>16</v>
      </c>
      <c r="D5152" s="21">
        <v>500800</v>
      </c>
      <c r="E5152" s="21">
        <v>200</v>
      </c>
      <c r="F5152" s="20">
        <v>182600</v>
      </c>
      <c r="G5152" s="20">
        <v>315900</v>
      </c>
      <c r="H5152" s="19">
        <v>2100</v>
      </c>
    </row>
    <row r="5153" spans="1:8" ht="18" customHeight="1" x14ac:dyDescent="0.15">
      <c r="A5153" s="250"/>
      <c r="B5153" s="23" t="s">
        <v>8</v>
      </c>
      <c r="C5153" s="22">
        <v>0</v>
      </c>
      <c r="D5153" s="21">
        <v>0</v>
      </c>
      <c r="E5153" s="21">
        <v>0</v>
      </c>
      <c r="F5153" s="20">
        <v>0</v>
      </c>
      <c r="G5153" s="20">
        <v>0</v>
      </c>
      <c r="H5153" s="19">
        <v>0</v>
      </c>
    </row>
    <row r="5154" spans="1:8" ht="18" customHeight="1" x14ac:dyDescent="0.15">
      <c r="A5154" s="251"/>
      <c r="B5154" s="23" t="s">
        <v>7</v>
      </c>
      <c r="C5154" s="22">
        <v>14</v>
      </c>
      <c r="D5154" s="21">
        <v>9075</v>
      </c>
      <c r="E5154" s="21">
        <v>2905</v>
      </c>
      <c r="F5154" s="20">
        <v>0</v>
      </c>
      <c r="G5154" s="20">
        <v>5670</v>
      </c>
      <c r="H5154" s="19">
        <v>500</v>
      </c>
    </row>
    <row r="5155" spans="1:8" ht="18" customHeight="1" x14ac:dyDescent="0.15">
      <c r="A5155" s="18" t="s">
        <v>6</v>
      </c>
      <c r="B5155" s="17" t="s">
        <v>5</v>
      </c>
      <c r="C5155" s="16">
        <v>3802</v>
      </c>
      <c r="D5155" s="15">
        <v>16017672</v>
      </c>
      <c r="E5155" s="15">
        <v>1457870</v>
      </c>
      <c r="F5155" s="14">
        <v>7070712</v>
      </c>
      <c r="G5155" s="14">
        <v>5272590</v>
      </c>
      <c r="H5155" s="13">
        <v>2216500</v>
      </c>
    </row>
    <row r="5156" spans="1:8" ht="18" customHeight="1" x14ac:dyDescent="0.15">
      <c r="A5156" s="252" t="s">
        <v>4</v>
      </c>
      <c r="B5156" s="12" t="s">
        <v>3</v>
      </c>
      <c r="C5156" s="11">
        <v>4878</v>
      </c>
      <c r="D5156" s="10">
        <v>71374064</v>
      </c>
      <c r="E5156" s="10">
        <v>43510433</v>
      </c>
      <c r="F5156" s="9">
        <v>12998844</v>
      </c>
      <c r="G5156" s="9">
        <v>9714147</v>
      </c>
      <c r="H5156" s="8">
        <v>5150639</v>
      </c>
    </row>
    <row r="5157" spans="1:8" ht="18" customHeight="1" thickBot="1" x14ac:dyDescent="0.2">
      <c r="A5157" s="253"/>
      <c r="B5157" s="7" t="s">
        <v>2</v>
      </c>
      <c r="C5157" s="6">
        <v>2913</v>
      </c>
      <c r="D5157" s="5" t="s">
        <v>1</v>
      </c>
      <c r="E5157" s="5" t="s">
        <v>1</v>
      </c>
      <c r="F5157" s="5" t="s">
        <v>1</v>
      </c>
      <c r="G5157" s="5" t="s">
        <v>1</v>
      </c>
      <c r="H5157" s="4" t="s">
        <v>1</v>
      </c>
    </row>
    <row r="5158" spans="1:8" ht="18" customHeight="1" x14ac:dyDescent="0.15">
      <c r="A5158" s="3" t="s">
        <v>0</v>
      </c>
      <c r="B5158" s="2"/>
      <c r="C5158" s="2"/>
      <c r="D5158" s="2"/>
      <c r="E5158" s="2"/>
      <c r="F5158" s="2"/>
      <c r="G5158" s="2"/>
      <c r="H5158" s="2"/>
    </row>
  </sheetData>
  <mergeCells count="1599">
    <mergeCell ref="A1:H1"/>
    <mergeCell ref="A2:H2"/>
    <mergeCell ref="A4:A6"/>
    <mergeCell ref="B4:B6"/>
    <mergeCell ref="C4:C6"/>
    <mergeCell ref="D4:D6"/>
    <mergeCell ref="E5:E6"/>
    <mergeCell ref="F5:F6"/>
    <mergeCell ref="G5:G6"/>
    <mergeCell ref="H5:H6"/>
    <mergeCell ref="A8:A14"/>
    <mergeCell ref="A16:A36"/>
    <mergeCell ref="A38:A39"/>
    <mergeCell ref="B735:B737"/>
    <mergeCell ref="C735:C737"/>
    <mergeCell ref="D735:D737"/>
    <mergeCell ref="E736:E737"/>
    <mergeCell ref="A87:H87"/>
    <mergeCell ref="A88:H88"/>
    <mergeCell ref="A90:A92"/>
    <mergeCell ref="B90:B92"/>
    <mergeCell ref="C90:C92"/>
    <mergeCell ref="D90:D92"/>
    <mergeCell ref="E91:E92"/>
    <mergeCell ref="F91:F92"/>
    <mergeCell ref="G91:G92"/>
    <mergeCell ref="H91:H92"/>
    <mergeCell ref="A94:A100"/>
    <mergeCell ref="A102:A122"/>
    <mergeCell ref="A124:A125"/>
    <mergeCell ref="A130:H130"/>
    <mergeCell ref="A131:H131"/>
    <mergeCell ref="A133:A135"/>
    <mergeCell ref="B133:B135"/>
    <mergeCell ref="C133:C135"/>
    <mergeCell ref="D133:D135"/>
    <mergeCell ref="E134:E135"/>
    <mergeCell ref="F134:F135"/>
    <mergeCell ref="G134:G135"/>
    <mergeCell ref="H134:H135"/>
    <mergeCell ref="A704:A724"/>
    <mergeCell ref="A726:A727"/>
    <mergeCell ref="A732:H732"/>
    <mergeCell ref="A692:A694"/>
    <mergeCell ref="A137:A143"/>
    <mergeCell ref="A145:A165"/>
    <mergeCell ref="A167:A168"/>
    <mergeCell ref="H607:H608"/>
    <mergeCell ref="A560:H560"/>
    <mergeCell ref="A561:H561"/>
    <mergeCell ref="A563:A565"/>
    <mergeCell ref="B563:B565"/>
    <mergeCell ref="A739:A745"/>
    <mergeCell ref="A747:A767"/>
    <mergeCell ref="A769:A770"/>
    <mergeCell ref="A775:H775"/>
    <mergeCell ref="A603:H603"/>
    <mergeCell ref="A604:H604"/>
    <mergeCell ref="A606:A608"/>
    <mergeCell ref="B606:B608"/>
    <mergeCell ref="C606:C608"/>
    <mergeCell ref="D606:D608"/>
    <mergeCell ref="E607:E608"/>
    <mergeCell ref="F607:F608"/>
    <mergeCell ref="G607:G608"/>
    <mergeCell ref="A395:A401"/>
    <mergeCell ref="A403:A423"/>
    <mergeCell ref="A425:A426"/>
    <mergeCell ref="A431:H431"/>
    <mergeCell ref="A432:H432"/>
    <mergeCell ref="A434:A436"/>
    <mergeCell ref="A735:A737"/>
    <mergeCell ref="A217:H217"/>
    <mergeCell ref="A219:A221"/>
    <mergeCell ref="B219:B221"/>
    <mergeCell ref="C219:C221"/>
    <mergeCell ref="D219:D221"/>
    <mergeCell ref="E220:E221"/>
    <mergeCell ref="F220:F221"/>
    <mergeCell ref="G220:G221"/>
    <mergeCell ref="H220:H221"/>
    <mergeCell ref="A223:A229"/>
    <mergeCell ref="A231:A251"/>
    <mergeCell ref="A253:A254"/>
    <mergeCell ref="C563:C565"/>
    <mergeCell ref="D563:D565"/>
    <mergeCell ref="E564:E565"/>
    <mergeCell ref="F564:F565"/>
    <mergeCell ref="B692:B694"/>
    <mergeCell ref="C692:C694"/>
    <mergeCell ref="D692:D694"/>
    <mergeCell ref="E693:E694"/>
    <mergeCell ref="F693:F694"/>
    <mergeCell ref="G693:G694"/>
    <mergeCell ref="H693:H694"/>
    <mergeCell ref="B907:B909"/>
    <mergeCell ref="C907:C909"/>
    <mergeCell ref="D907:D909"/>
    <mergeCell ref="E908:E909"/>
    <mergeCell ref="F908:F909"/>
    <mergeCell ref="G908:G909"/>
    <mergeCell ref="H908:H909"/>
    <mergeCell ref="A861:H861"/>
    <mergeCell ref="A862:H862"/>
    <mergeCell ref="A864:A866"/>
    <mergeCell ref="B864:B866"/>
    <mergeCell ref="C864:C866"/>
    <mergeCell ref="D864:D866"/>
    <mergeCell ref="E865:E866"/>
    <mergeCell ref="F865:F866"/>
    <mergeCell ref="G865:G866"/>
    <mergeCell ref="A868:A874"/>
    <mergeCell ref="A876:A896"/>
    <mergeCell ref="A898:A899"/>
    <mergeCell ref="A782:A788"/>
    <mergeCell ref="A790:A810"/>
    <mergeCell ref="A812:A813"/>
    <mergeCell ref="A990:H990"/>
    <mergeCell ref="A991:H991"/>
    <mergeCell ref="A993:A995"/>
    <mergeCell ref="B993:B995"/>
    <mergeCell ref="C993:C995"/>
    <mergeCell ref="D993:D995"/>
    <mergeCell ref="E994:E995"/>
    <mergeCell ref="F994:F995"/>
    <mergeCell ref="G994:G995"/>
    <mergeCell ref="H994:H995"/>
    <mergeCell ref="H865:H866"/>
    <mergeCell ref="A818:H818"/>
    <mergeCell ref="A819:H819"/>
    <mergeCell ref="A821:A823"/>
    <mergeCell ref="B821:B823"/>
    <mergeCell ref="C821:C823"/>
    <mergeCell ref="D821:D823"/>
    <mergeCell ref="E822:E823"/>
    <mergeCell ref="F822:F823"/>
    <mergeCell ref="G822:G823"/>
    <mergeCell ref="H822:H823"/>
    <mergeCell ref="A825:A831"/>
    <mergeCell ref="A833:A853"/>
    <mergeCell ref="A855:A856"/>
    <mergeCell ref="A904:H904"/>
    <mergeCell ref="A905:H905"/>
    <mergeCell ref="A907:A909"/>
    <mergeCell ref="A997:A1003"/>
    <mergeCell ref="A1005:A1025"/>
    <mergeCell ref="A1027:A1028"/>
    <mergeCell ref="A911:A917"/>
    <mergeCell ref="A919:A939"/>
    <mergeCell ref="A941:A942"/>
    <mergeCell ref="G1166:G1167"/>
    <mergeCell ref="H1166:H1167"/>
    <mergeCell ref="A947:H947"/>
    <mergeCell ref="A948:H948"/>
    <mergeCell ref="A950:A952"/>
    <mergeCell ref="B950:B952"/>
    <mergeCell ref="C950:C952"/>
    <mergeCell ref="D950:D952"/>
    <mergeCell ref="E951:E952"/>
    <mergeCell ref="F951:F952"/>
    <mergeCell ref="G951:G952"/>
    <mergeCell ref="H951:H952"/>
    <mergeCell ref="A954:A960"/>
    <mergeCell ref="A962:A982"/>
    <mergeCell ref="A984:A985"/>
    <mergeCell ref="A1076:H1076"/>
    <mergeCell ref="A1077:H1077"/>
    <mergeCell ref="A1079:A1081"/>
    <mergeCell ref="B1079:B1081"/>
    <mergeCell ref="C1079:C1081"/>
    <mergeCell ref="D1079:D1081"/>
    <mergeCell ref="E1080:E1081"/>
    <mergeCell ref="F1080:F1081"/>
    <mergeCell ref="G1080:G1081"/>
    <mergeCell ref="H1080:H1081"/>
    <mergeCell ref="A1083:A1089"/>
    <mergeCell ref="A1091:A1111"/>
    <mergeCell ref="A1113:A1114"/>
    <mergeCell ref="G1252:G1253"/>
    <mergeCell ref="A1162:H1162"/>
    <mergeCell ref="A1163:H1163"/>
    <mergeCell ref="A1165:A1167"/>
    <mergeCell ref="B1165:B1167"/>
    <mergeCell ref="C1165:C1167"/>
    <mergeCell ref="D1165:D1167"/>
    <mergeCell ref="E1166:E1167"/>
    <mergeCell ref="F1166:F1167"/>
    <mergeCell ref="A1199:A1200"/>
    <mergeCell ref="H1252:H1253"/>
    <mergeCell ref="A1169:A1175"/>
    <mergeCell ref="A1177:A1197"/>
    <mergeCell ref="E1596:E1597"/>
    <mergeCell ref="F1596:F1597"/>
    <mergeCell ref="A1463:H1463"/>
    <mergeCell ref="A1464:H1464"/>
    <mergeCell ref="A1466:A1468"/>
    <mergeCell ref="B1466:B1468"/>
    <mergeCell ref="C1466:C1468"/>
    <mergeCell ref="D1466:D1468"/>
    <mergeCell ref="E1467:E1468"/>
    <mergeCell ref="F1467:F1468"/>
    <mergeCell ref="G1467:G1468"/>
    <mergeCell ref="H1467:H1468"/>
    <mergeCell ref="A1470:A1476"/>
    <mergeCell ref="A1478:A1498"/>
    <mergeCell ref="A1500:A1501"/>
    <mergeCell ref="A1513:A1519"/>
    <mergeCell ref="A1521:A1541"/>
    <mergeCell ref="A1543:A1544"/>
    <mergeCell ref="E1510:E1511"/>
    <mergeCell ref="F1510:F1511"/>
    <mergeCell ref="G1510:G1511"/>
    <mergeCell ref="H1510:H1511"/>
    <mergeCell ref="B1595:B1597"/>
    <mergeCell ref="C1595:C1597"/>
    <mergeCell ref="D1595:D1597"/>
    <mergeCell ref="F2070:F2071"/>
    <mergeCell ref="G2070:G2071"/>
    <mergeCell ref="H2070:H2071"/>
    <mergeCell ref="E1725:E1726"/>
    <mergeCell ref="F1725:F1726"/>
    <mergeCell ref="G1725:G1726"/>
    <mergeCell ref="A1931:A1932"/>
    <mergeCell ref="A1894:H1894"/>
    <mergeCell ref="A1895:H1895"/>
    <mergeCell ref="A1897:A1899"/>
    <mergeCell ref="B1897:B1899"/>
    <mergeCell ref="C1897:C1899"/>
    <mergeCell ref="D1897:D1899"/>
    <mergeCell ref="E1898:E1899"/>
    <mergeCell ref="F1898:F1899"/>
    <mergeCell ref="G1898:G1899"/>
    <mergeCell ref="C1811:C1813"/>
    <mergeCell ref="D1811:D1813"/>
    <mergeCell ref="A1809:H1809"/>
    <mergeCell ref="A1808:H1808"/>
    <mergeCell ref="A1901:A1907"/>
    <mergeCell ref="A1909:A1929"/>
    <mergeCell ref="H1898:H1899"/>
    <mergeCell ref="F1855:F1856"/>
    <mergeCell ref="G1855:G1856"/>
    <mergeCell ref="H1855:H1856"/>
    <mergeCell ref="A1772:A1778"/>
    <mergeCell ref="A1780:A1800"/>
    <mergeCell ref="A1802:A1803"/>
    <mergeCell ref="A1765:H1765"/>
    <mergeCell ref="A1766:H1766"/>
    <mergeCell ref="A1768:A1770"/>
    <mergeCell ref="C1983:C1985"/>
    <mergeCell ref="D1983:D1985"/>
    <mergeCell ref="E1984:E1985"/>
    <mergeCell ref="F1984:F1985"/>
    <mergeCell ref="G1984:G1985"/>
    <mergeCell ref="A1888:A1889"/>
    <mergeCell ref="A1851:H1851"/>
    <mergeCell ref="A1852:H1852"/>
    <mergeCell ref="A1854:A1856"/>
    <mergeCell ref="B1854:B1856"/>
    <mergeCell ref="C1854:C1856"/>
    <mergeCell ref="D1854:D1856"/>
    <mergeCell ref="E1855:E1856"/>
    <mergeCell ref="A1987:A1993"/>
    <mergeCell ref="A1995:A2015"/>
    <mergeCell ref="H1984:H1985"/>
    <mergeCell ref="C1940:C1942"/>
    <mergeCell ref="D1940:D1942"/>
    <mergeCell ref="E1941:E1942"/>
    <mergeCell ref="F1941:F1942"/>
    <mergeCell ref="G1941:G1942"/>
    <mergeCell ref="H1941:H1942"/>
    <mergeCell ref="A2030:A2036"/>
    <mergeCell ref="A2038:A2058"/>
    <mergeCell ref="A2060:A2061"/>
    <mergeCell ref="A2281:H2281"/>
    <mergeCell ref="A2282:H2282"/>
    <mergeCell ref="A2284:A2286"/>
    <mergeCell ref="B2284:B2286"/>
    <mergeCell ref="A2202:A2208"/>
    <mergeCell ref="A2210:A2230"/>
    <mergeCell ref="A2232:A2233"/>
    <mergeCell ref="A2195:H2195"/>
    <mergeCell ref="A2196:H2196"/>
    <mergeCell ref="A2198:A2200"/>
    <mergeCell ref="B2198:B2200"/>
    <mergeCell ref="C2198:C2200"/>
    <mergeCell ref="D2198:D2200"/>
    <mergeCell ref="E2199:E2200"/>
    <mergeCell ref="C2155:C2157"/>
    <mergeCell ref="D2155:D2157"/>
    <mergeCell ref="E2156:E2157"/>
    <mergeCell ref="F2156:F2157"/>
    <mergeCell ref="G2156:G2157"/>
    <mergeCell ref="H2156:H2157"/>
    <mergeCell ref="A2253:A2273"/>
    <mergeCell ref="A2275:A2276"/>
    <mergeCell ref="A2238:H2238"/>
    <mergeCell ref="A2239:H2239"/>
    <mergeCell ref="A2241:A2243"/>
    <mergeCell ref="A2116:A2122"/>
    <mergeCell ref="A2124:A2144"/>
    <mergeCell ref="A2146:A2147"/>
    <mergeCell ref="A2109:H2109"/>
    <mergeCell ref="A2589:A2595"/>
    <mergeCell ref="E2672:E2673"/>
    <mergeCell ref="A2668:H2668"/>
    <mergeCell ref="A2669:H2669"/>
    <mergeCell ref="B2671:B2673"/>
    <mergeCell ref="C2671:C2673"/>
    <mergeCell ref="C2499:C2501"/>
    <mergeCell ref="D2499:D2501"/>
    <mergeCell ref="A2632:A2638"/>
    <mergeCell ref="A2640:A2660"/>
    <mergeCell ref="A2625:H2625"/>
    <mergeCell ref="A2626:H2626"/>
    <mergeCell ref="A2628:A2630"/>
    <mergeCell ref="B2628:B2630"/>
    <mergeCell ref="G2500:G2501"/>
    <mergeCell ref="A2582:H2582"/>
    <mergeCell ref="A2583:H2583"/>
    <mergeCell ref="D2585:D2587"/>
    <mergeCell ref="E2586:E2587"/>
    <mergeCell ref="H2543:H2544"/>
    <mergeCell ref="A2546:A2552"/>
    <mergeCell ref="A2554:A2574"/>
    <mergeCell ref="A2576:A2577"/>
    <mergeCell ref="A2533:A2534"/>
    <mergeCell ref="H2629:H2630"/>
    <mergeCell ref="C2628:C2630"/>
    <mergeCell ref="D2628:D2630"/>
    <mergeCell ref="E2629:E2630"/>
    <mergeCell ref="F2629:F2630"/>
    <mergeCell ref="H2586:H2587"/>
    <mergeCell ref="F2586:F2587"/>
    <mergeCell ref="G2586:G2587"/>
    <mergeCell ref="A3142:H3142"/>
    <mergeCell ref="B2886:B2888"/>
    <mergeCell ref="C2886:C2888"/>
    <mergeCell ref="D2886:D2888"/>
    <mergeCell ref="A3144:A3146"/>
    <mergeCell ref="A3141:H3141"/>
    <mergeCell ref="D2843:D2845"/>
    <mergeCell ref="A2883:H2883"/>
    <mergeCell ref="A2884:H2884"/>
    <mergeCell ref="G2887:G2888"/>
    <mergeCell ref="H2887:H2888"/>
    <mergeCell ref="A2840:H2840"/>
    <mergeCell ref="A2841:H2841"/>
    <mergeCell ref="A2843:A2845"/>
    <mergeCell ref="B2843:B2845"/>
    <mergeCell ref="G2844:G2845"/>
    <mergeCell ref="H2844:H2845"/>
    <mergeCell ref="E2844:E2845"/>
    <mergeCell ref="A2886:A2888"/>
    <mergeCell ref="A2847:A2853"/>
    <mergeCell ref="C2843:C2845"/>
    <mergeCell ref="F2844:F2845"/>
    <mergeCell ref="F2887:F2888"/>
    <mergeCell ref="E2887:E2888"/>
    <mergeCell ref="E3145:E3146"/>
    <mergeCell ref="H3145:H3146"/>
    <mergeCell ref="F3145:F3146"/>
    <mergeCell ref="G3145:G3146"/>
    <mergeCell ref="B3144:B3146"/>
    <mergeCell ref="C3144:C3146"/>
    <mergeCell ref="A3027:A3047"/>
    <mergeCell ref="A3049:A3050"/>
    <mergeCell ref="A3156:A3176"/>
    <mergeCell ref="A3264:A3265"/>
    <mergeCell ref="A3227:H3227"/>
    <mergeCell ref="A3228:H3228"/>
    <mergeCell ref="A3230:A3232"/>
    <mergeCell ref="B3230:B3232"/>
    <mergeCell ref="E3231:E3232"/>
    <mergeCell ref="A3187:A3189"/>
    <mergeCell ref="B3187:B3189"/>
    <mergeCell ref="B2929:B2931"/>
    <mergeCell ref="C2929:C2931"/>
    <mergeCell ref="D2929:D2931"/>
    <mergeCell ref="A3101:A3103"/>
    <mergeCell ref="B3101:B3103"/>
    <mergeCell ref="C3101:C3103"/>
    <mergeCell ref="E3016:E3017"/>
    <mergeCell ref="A3099:H3099"/>
    <mergeCell ref="A3098:H3098"/>
    <mergeCell ref="F3016:F3017"/>
    <mergeCell ref="G3016:G3017"/>
    <mergeCell ref="H3016:H3017"/>
    <mergeCell ref="H3059:H3060"/>
    <mergeCell ref="E3059:E3060"/>
    <mergeCell ref="F3059:F3060"/>
    <mergeCell ref="G3059:G3060"/>
    <mergeCell ref="A2984:A3004"/>
    <mergeCell ref="A3006:A3007"/>
    <mergeCell ref="A2969:H2969"/>
    <mergeCell ref="A2970:H2970"/>
    <mergeCell ref="A2972:A2974"/>
    <mergeCell ref="B2972:B2974"/>
    <mergeCell ref="C2972:C2974"/>
    <mergeCell ref="A2855:A2875"/>
    <mergeCell ref="A2877:A2878"/>
    <mergeCell ref="A3178:A3179"/>
    <mergeCell ref="A3234:A3240"/>
    <mergeCell ref="A3242:A3262"/>
    <mergeCell ref="C3015:C3017"/>
    <mergeCell ref="D3015:D3017"/>
    <mergeCell ref="A3062:A3068"/>
    <mergeCell ref="A3070:A3090"/>
    <mergeCell ref="A3092:A3093"/>
    <mergeCell ref="A3055:H3055"/>
    <mergeCell ref="A3056:H3056"/>
    <mergeCell ref="A3058:A3060"/>
    <mergeCell ref="B3058:B3060"/>
    <mergeCell ref="A2933:A2939"/>
    <mergeCell ref="A2976:A2982"/>
    <mergeCell ref="A3019:A3025"/>
    <mergeCell ref="A3148:A3154"/>
    <mergeCell ref="C3058:C3060"/>
    <mergeCell ref="D3058:D3060"/>
    <mergeCell ref="A3012:H3012"/>
    <mergeCell ref="A3013:H3013"/>
    <mergeCell ref="A3015:A3017"/>
    <mergeCell ref="B3015:B3017"/>
    <mergeCell ref="H3102:H3103"/>
    <mergeCell ref="D3101:D3103"/>
    <mergeCell ref="G3102:G3103"/>
    <mergeCell ref="A3135:A3136"/>
    <mergeCell ref="A3113:A3133"/>
    <mergeCell ref="A3105:A3111"/>
    <mergeCell ref="E3102:E3103"/>
    <mergeCell ref="F3102:F3103"/>
    <mergeCell ref="A3480:H3480"/>
    <mergeCell ref="A3436:A3437"/>
    <mergeCell ref="A3414:A3434"/>
    <mergeCell ref="A3406:A3412"/>
    <mergeCell ref="E3403:E3404"/>
    <mergeCell ref="F3403:F3404"/>
    <mergeCell ref="G3403:G3404"/>
    <mergeCell ref="A3402:A3404"/>
    <mergeCell ref="B3402:B3404"/>
    <mergeCell ref="C3402:C3404"/>
    <mergeCell ref="A3440:H3440"/>
    <mergeCell ref="A3476:A3477"/>
    <mergeCell ref="A3454:A3474"/>
    <mergeCell ref="A3446:A3452"/>
    <mergeCell ref="C3442:C3444"/>
    <mergeCell ref="D3442:D3444"/>
    <mergeCell ref="A3479:H3479"/>
    <mergeCell ref="E3443:E3444"/>
    <mergeCell ref="F3443:F3444"/>
    <mergeCell ref="G3443:G3444"/>
    <mergeCell ref="A3439:H3439"/>
    <mergeCell ref="H3443:H3444"/>
    <mergeCell ref="A3442:A3444"/>
    <mergeCell ref="B3442:B3444"/>
    <mergeCell ref="D3402:D3404"/>
    <mergeCell ref="H3403:H3404"/>
    <mergeCell ref="A3919:H3919"/>
    <mergeCell ref="A3920:H3920"/>
    <mergeCell ref="A3922:A3924"/>
    <mergeCell ref="B3922:B3924"/>
    <mergeCell ref="C3922:C3924"/>
    <mergeCell ref="D3922:D3924"/>
    <mergeCell ref="E3923:E3924"/>
    <mergeCell ref="F3923:F3924"/>
    <mergeCell ref="G3923:G3924"/>
    <mergeCell ref="C3762:C3764"/>
    <mergeCell ref="D3762:D3764"/>
    <mergeCell ref="E3763:E3764"/>
    <mergeCell ref="F3763:F3764"/>
    <mergeCell ref="A3854:A3874"/>
    <mergeCell ref="A3876:A3877"/>
    <mergeCell ref="A3806:A3812"/>
    <mergeCell ref="A3814:A3834"/>
    <mergeCell ref="A3836:A3837"/>
    <mergeCell ref="A3799:H3799"/>
    <mergeCell ref="A3800:H3800"/>
    <mergeCell ref="A3802:A3804"/>
    <mergeCell ref="B3802:B3804"/>
    <mergeCell ref="H3803:H3804"/>
    <mergeCell ref="H3883:H3884"/>
    <mergeCell ref="A3886:A3892"/>
    <mergeCell ref="A3846:A3852"/>
    <mergeCell ref="D3802:D3804"/>
    <mergeCell ref="E3803:E3804"/>
    <mergeCell ref="F3803:F3804"/>
    <mergeCell ref="G3803:G3804"/>
    <mergeCell ref="A3774:A3794"/>
    <mergeCell ref="A3796:A3797"/>
    <mergeCell ref="A3734:A3754"/>
    <mergeCell ref="C3802:C3804"/>
    <mergeCell ref="D3144:D3146"/>
    <mergeCell ref="A3926:A3932"/>
    <mergeCell ref="A3934:A3954"/>
    <mergeCell ref="C3882:C3884"/>
    <mergeCell ref="D3882:D3884"/>
    <mergeCell ref="E3883:E3884"/>
    <mergeCell ref="F3883:F3884"/>
    <mergeCell ref="A3766:A3772"/>
    <mergeCell ref="G3763:G3764"/>
    <mergeCell ref="H3763:H3764"/>
    <mergeCell ref="A3762:A3764"/>
    <mergeCell ref="B3762:B3764"/>
    <mergeCell ref="A3839:H3839"/>
    <mergeCell ref="A3840:H3840"/>
    <mergeCell ref="A3842:A3844"/>
    <mergeCell ref="B3842:B3844"/>
    <mergeCell ref="C3842:C3844"/>
    <mergeCell ref="D3842:D3844"/>
    <mergeCell ref="E3843:E3844"/>
    <mergeCell ref="F3843:F3844"/>
    <mergeCell ref="H3923:H3924"/>
    <mergeCell ref="G3843:G3844"/>
    <mergeCell ref="H3843:H3844"/>
    <mergeCell ref="A3894:A3914"/>
    <mergeCell ref="A3916:A3917"/>
    <mergeCell ref="A3879:H3879"/>
    <mergeCell ref="A3880:H3880"/>
    <mergeCell ref="A3882:A3884"/>
    <mergeCell ref="B3882:B3884"/>
    <mergeCell ref="G3883:G3884"/>
    <mergeCell ref="A3999:H3999"/>
    <mergeCell ref="A4000:H4000"/>
    <mergeCell ref="A4002:A4004"/>
    <mergeCell ref="B4002:B4004"/>
    <mergeCell ref="C4002:C4004"/>
    <mergeCell ref="D4002:D4004"/>
    <mergeCell ref="E4003:E4004"/>
    <mergeCell ref="A3956:A3957"/>
    <mergeCell ref="A3959:H3959"/>
    <mergeCell ref="A3960:H3960"/>
    <mergeCell ref="A3962:A3964"/>
    <mergeCell ref="B3962:B3964"/>
    <mergeCell ref="C3962:C3964"/>
    <mergeCell ref="D3962:D3964"/>
    <mergeCell ref="E3963:E3964"/>
    <mergeCell ref="F3963:F3964"/>
    <mergeCell ref="G3963:G3964"/>
    <mergeCell ref="H3963:H3964"/>
    <mergeCell ref="A3966:A3972"/>
    <mergeCell ref="A3974:A3994"/>
    <mergeCell ref="A3996:A3997"/>
    <mergeCell ref="F4003:F4004"/>
    <mergeCell ref="G4003:G4004"/>
    <mergeCell ref="H4003:H4004"/>
    <mergeCell ref="B4202:B4204"/>
    <mergeCell ref="A4126:A4132"/>
    <mergeCell ref="A4134:A4154"/>
    <mergeCell ref="A4156:A4157"/>
    <mergeCell ref="A4160:H4160"/>
    <mergeCell ref="A4196:A4197"/>
    <mergeCell ref="A4174:A4194"/>
    <mergeCell ref="A4166:A4172"/>
    <mergeCell ref="A4159:H4159"/>
    <mergeCell ref="C4162:C4164"/>
    <mergeCell ref="D4162:D4164"/>
    <mergeCell ref="A4119:H4119"/>
    <mergeCell ref="A4120:H4120"/>
    <mergeCell ref="A4122:A4124"/>
    <mergeCell ref="B4122:B4124"/>
    <mergeCell ref="C4122:C4124"/>
    <mergeCell ref="D4122:D4124"/>
    <mergeCell ref="F4123:F4124"/>
    <mergeCell ref="G4123:G4124"/>
    <mergeCell ref="H4123:H4124"/>
    <mergeCell ref="E4123:E4124"/>
    <mergeCell ref="H4163:H4164"/>
    <mergeCell ref="F4163:F4164"/>
    <mergeCell ref="G4163:G4164"/>
    <mergeCell ref="G4363:G4364"/>
    <mergeCell ref="H4363:H4364"/>
    <mergeCell ref="H4443:H4444"/>
    <mergeCell ref="A4286:A4292"/>
    <mergeCell ref="A4320:H4320"/>
    <mergeCell ref="A4374:A4394"/>
    <mergeCell ref="A4396:A4397"/>
    <mergeCell ref="A4359:H4359"/>
    <mergeCell ref="A4360:H4360"/>
    <mergeCell ref="A4362:A4364"/>
    <mergeCell ref="B4362:B4364"/>
    <mergeCell ref="C4362:C4364"/>
    <mergeCell ref="D4362:D4364"/>
    <mergeCell ref="F4203:F4204"/>
    <mergeCell ref="G4203:G4204"/>
    <mergeCell ref="H4203:H4204"/>
    <mergeCell ref="A4279:H4279"/>
    <mergeCell ref="A4280:H4280"/>
    <mergeCell ref="B4282:B4284"/>
    <mergeCell ref="F4283:F4284"/>
    <mergeCell ref="A4246:A4252"/>
    <mergeCell ref="A4236:A4237"/>
    <mergeCell ref="G4243:G4244"/>
    <mergeCell ref="A4356:A4357"/>
    <mergeCell ref="A4319:H4319"/>
    <mergeCell ref="C4202:C4204"/>
    <mergeCell ref="D4202:D4204"/>
    <mergeCell ref="E4203:E4204"/>
    <mergeCell ref="A4294:A4314"/>
    <mergeCell ref="A4316:A4317"/>
    <mergeCell ref="A4282:A4284"/>
    <mergeCell ref="A4206:A4212"/>
    <mergeCell ref="A4679:H4679"/>
    <mergeCell ref="A4680:H4680"/>
    <mergeCell ref="A4686:A4692"/>
    <mergeCell ref="A4766:A4772"/>
    <mergeCell ref="A4759:H4759"/>
    <mergeCell ref="B4722:B4724"/>
    <mergeCell ref="A4654:A4674"/>
    <mergeCell ref="E4683:E4684"/>
    <mergeCell ref="F4683:F4684"/>
    <mergeCell ref="G4683:G4684"/>
    <mergeCell ref="B4682:B4684"/>
    <mergeCell ref="C4682:C4684"/>
    <mergeCell ref="A4676:A4677"/>
    <mergeCell ref="E4603:E4604"/>
    <mergeCell ref="F4603:F4604"/>
    <mergeCell ref="A4600:H4600"/>
    <mergeCell ref="A4566:A4572"/>
    <mergeCell ref="A4574:A4594"/>
    <mergeCell ref="A4596:A4597"/>
    <mergeCell ref="H4603:H4604"/>
    <mergeCell ref="A4602:A4604"/>
    <mergeCell ref="G4603:G4604"/>
    <mergeCell ref="B4602:B4604"/>
    <mergeCell ref="C4602:C4604"/>
    <mergeCell ref="D4602:D4604"/>
    <mergeCell ref="H4683:H4684"/>
    <mergeCell ref="A4682:A4684"/>
    <mergeCell ref="D4682:D4684"/>
    <mergeCell ref="A4716:A4717"/>
    <mergeCell ref="A4694:A4714"/>
    <mergeCell ref="A4720:H4720"/>
    <mergeCell ref="A4719:H4719"/>
    <mergeCell ref="H4843:H4844"/>
    <mergeCell ref="F4723:F4724"/>
    <mergeCell ref="G4723:G4724"/>
    <mergeCell ref="A4836:A4837"/>
    <mergeCell ref="A4814:A4834"/>
    <mergeCell ref="A4806:A4812"/>
    <mergeCell ref="E4803:E4804"/>
    <mergeCell ref="E4723:E4724"/>
    <mergeCell ref="G4803:G4804"/>
    <mergeCell ref="A4799:H4799"/>
    <mergeCell ref="H4803:H4804"/>
    <mergeCell ref="A4726:A4732"/>
    <mergeCell ref="A4734:A4754"/>
    <mergeCell ref="H4723:H4724"/>
    <mergeCell ref="A4800:H4800"/>
    <mergeCell ref="D4762:D4764"/>
    <mergeCell ref="A4760:H4760"/>
    <mergeCell ref="H4763:H4764"/>
    <mergeCell ref="A4762:A4764"/>
    <mergeCell ref="B4762:B4764"/>
    <mergeCell ref="C4762:C4764"/>
    <mergeCell ref="E4763:E4764"/>
    <mergeCell ref="A4756:A4757"/>
    <mergeCell ref="A4722:A4724"/>
    <mergeCell ref="F4763:F4764"/>
    <mergeCell ref="G4763:G4764"/>
    <mergeCell ref="C4722:C4724"/>
    <mergeCell ref="D4722:D4724"/>
    <mergeCell ref="G5043:G5044"/>
    <mergeCell ref="G5003:G5004"/>
    <mergeCell ref="H5003:H5004"/>
    <mergeCell ref="H5043:H5044"/>
    <mergeCell ref="C5002:C5004"/>
    <mergeCell ref="A5014:A5034"/>
    <mergeCell ref="A5036:A5037"/>
    <mergeCell ref="F5003:F5004"/>
    <mergeCell ref="H5083:H5084"/>
    <mergeCell ref="E5083:E5084"/>
    <mergeCell ref="A5080:H5080"/>
    <mergeCell ref="A5082:A5084"/>
    <mergeCell ref="B5082:B5084"/>
    <mergeCell ref="A5002:A5004"/>
    <mergeCell ref="B5002:B5004"/>
    <mergeCell ref="D5002:D5004"/>
    <mergeCell ref="E5003:E5004"/>
    <mergeCell ref="A5079:H5079"/>
    <mergeCell ref="A5126:A5132"/>
    <mergeCell ref="A5006:A5012"/>
    <mergeCell ref="A5086:A5092"/>
    <mergeCell ref="A5094:A5114"/>
    <mergeCell ref="D5042:D5044"/>
    <mergeCell ref="A5134:A5154"/>
    <mergeCell ref="A5156:A5157"/>
    <mergeCell ref="A5042:A5044"/>
    <mergeCell ref="A5119:H5119"/>
    <mergeCell ref="A5120:H5120"/>
    <mergeCell ref="A5122:A5124"/>
    <mergeCell ref="B5122:B5124"/>
    <mergeCell ref="C5122:C5124"/>
    <mergeCell ref="H5123:H5124"/>
    <mergeCell ref="E5123:E5124"/>
    <mergeCell ref="B5042:B5044"/>
    <mergeCell ref="C5042:C5044"/>
    <mergeCell ref="E5043:E5044"/>
    <mergeCell ref="A5116:A5117"/>
    <mergeCell ref="C5082:C5084"/>
    <mergeCell ref="F5123:F5124"/>
    <mergeCell ref="G5123:G5124"/>
    <mergeCell ref="D5082:D5084"/>
    <mergeCell ref="F5083:F5084"/>
    <mergeCell ref="G5083:G5084"/>
    <mergeCell ref="D5122:D5124"/>
    <mergeCell ref="A5046:A5052"/>
    <mergeCell ref="A5054:A5074"/>
    <mergeCell ref="A5076:A5077"/>
    <mergeCell ref="A5039:H5039"/>
    <mergeCell ref="A5040:H5040"/>
    <mergeCell ref="F5043:F5044"/>
    <mergeCell ref="A4926:A4932"/>
    <mergeCell ref="A4934:A4954"/>
    <mergeCell ref="H4923:H4924"/>
    <mergeCell ref="A4956:A4957"/>
    <mergeCell ref="A4919:H4919"/>
    <mergeCell ref="A4920:H4920"/>
    <mergeCell ref="A4922:A4924"/>
    <mergeCell ref="B4922:B4924"/>
    <mergeCell ref="C4922:C4924"/>
    <mergeCell ref="E4923:E4924"/>
    <mergeCell ref="F4923:F4924"/>
    <mergeCell ref="G4923:G4924"/>
    <mergeCell ref="A4999:H4999"/>
    <mergeCell ref="A5000:H5000"/>
    <mergeCell ref="D4962:D4964"/>
    <mergeCell ref="D4922:D4924"/>
    <mergeCell ref="A4960:H4960"/>
    <mergeCell ref="A4974:A4994"/>
    <mergeCell ref="A4966:A4972"/>
    <mergeCell ref="E4963:E4964"/>
    <mergeCell ref="A4959:H4959"/>
    <mergeCell ref="G4963:G4964"/>
    <mergeCell ref="H4963:H4964"/>
    <mergeCell ref="A4962:A4964"/>
    <mergeCell ref="B4962:B4964"/>
    <mergeCell ref="A4996:A4997"/>
    <mergeCell ref="F4963:F4964"/>
    <mergeCell ref="C4962:C4964"/>
    <mergeCell ref="A4916:A4917"/>
    <mergeCell ref="A4894:A4914"/>
    <mergeCell ref="A4886:A4892"/>
    <mergeCell ref="E4883:E4884"/>
    <mergeCell ref="A4796:A4797"/>
    <mergeCell ref="A4774:A4794"/>
    <mergeCell ref="A4879:H4879"/>
    <mergeCell ref="E4843:E4844"/>
    <mergeCell ref="F4843:F4844"/>
    <mergeCell ref="A4802:A4804"/>
    <mergeCell ref="H4883:H4884"/>
    <mergeCell ref="A4882:A4884"/>
    <mergeCell ref="B4882:B4884"/>
    <mergeCell ref="C4882:C4884"/>
    <mergeCell ref="D4882:D4884"/>
    <mergeCell ref="A4880:H4880"/>
    <mergeCell ref="F4883:F4884"/>
    <mergeCell ref="G4883:G4884"/>
    <mergeCell ref="A4854:A4874"/>
    <mergeCell ref="A4876:A4877"/>
    <mergeCell ref="A4839:H4839"/>
    <mergeCell ref="A4840:H4840"/>
    <mergeCell ref="A4842:A4844"/>
    <mergeCell ref="B4842:B4844"/>
    <mergeCell ref="C4842:C4844"/>
    <mergeCell ref="D4842:D4844"/>
    <mergeCell ref="B4802:B4804"/>
    <mergeCell ref="C4802:C4804"/>
    <mergeCell ref="D4802:D4804"/>
    <mergeCell ref="F4803:F4804"/>
    <mergeCell ref="A4846:A4852"/>
    <mergeCell ref="G4843:G4844"/>
    <mergeCell ref="A4606:A4612"/>
    <mergeCell ref="A4646:A4652"/>
    <mergeCell ref="G4563:G4564"/>
    <mergeCell ref="H4563:H4564"/>
    <mergeCell ref="H4643:H4644"/>
    <mergeCell ref="E4643:E4644"/>
    <mergeCell ref="A4599:H4599"/>
    <mergeCell ref="C4642:C4644"/>
    <mergeCell ref="D4642:D4644"/>
    <mergeCell ref="F4643:F4644"/>
    <mergeCell ref="A4639:H4639"/>
    <mergeCell ref="A4640:H4640"/>
    <mergeCell ref="A4642:A4644"/>
    <mergeCell ref="B4642:B4644"/>
    <mergeCell ref="A4636:A4637"/>
    <mergeCell ref="A4614:A4634"/>
    <mergeCell ref="G4643:G4644"/>
    <mergeCell ref="A4516:A4517"/>
    <mergeCell ref="A4479:H4479"/>
    <mergeCell ref="A4480:H4480"/>
    <mergeCell ref="A4482:A4484"/>
    <mergeCell ref="B4482:B4484"/>
    <mergeCell ref="C4482:C4484"/>
    <mergeCell ref="D4482:D4484"/>
    <mergeCell ref="E4483:E4484"/>
    <mergeCell ref="F4483:F4484"/>
    <mergeCell ref="A4494:A4514"/>
    <mergeCell ref="C4562:C4564"/>
    <mergeCell ref="D4562:D4564"/>
    <mergeCell ref="E4563:E4564"/>
    <mergeCell ref="F4563:F4564"/>
    <mergeCell ref="C4522:C4524"/>
    <mergeCell ref="A4522:A4524"/>
    <mergeCell ref="B4522:B4524"/>
    <mergeCell ref="A4560:H4560"/>
    <mergeCell ref="A4562:A4564"/>
    <mergeCell ref="B4562:B4564"/>
    <mergeCell ref="H4523:H4524"/>
    <mergeCell ref="D4522:D4524"/>
    <mergeCell ref="A4520:H4520"/>
    <mergeCell ref="A4519:H4519"/>
    <mergeCell ref="A4559:H4559"/>
    <mergeCell ref="A4556:A4557"/>
    <mergeCell ref="A4534:A4554"/>
    <mergeCell ref="A4526:A4532"/>
    <mergeCell ref="E4523:E4524"/>
    <mergeCell ref="F4523:F4524"/>
    <mergeCell ref="G4523:G4524"/>
    <mergeCell ref="A4406:A4412"/>
    <mergeCell ref="A4414:A4434"/>
    <mergeCell ref="A4366:A4372"/>
    <mergeCell ref="A4334:A4354"/>
    <mergeCell ref="A4399:H4399"/>
    <mergeCell ref="A4400:H4400"/>
    <mergeCell ref="A4402:A4404"/>
    <mergeCell ref="B4402:B4404"/>
    <mergeCell ref="C4402:C4404"/>
    <mergeCell ref="D4402:D4404"/>
    <mergeCell ref="E4403:E4404"/>
    <mergeCell ref="F4403:F4404"/>
    <mergeCell ref="G4403:G4404"/>
    <mergeCell ref="H4403:H4404"/>
    <mergeCell ref="A4486:A4492"/>
    <mergeCell ref="G4483:G4484"/>
    <mergeCell ref="H4483:H4484"/>
    <mergeCell ref="F4443:F4444"/>
    <mergeCell ref="G4443:G4444"/>
    <mergeCell ref="C4442:C4444"/>
    <mergeCell ref="D4442:D4444"/>
    <mergeCell ref="E4443:E4444"/>
    <mergeCell ref="A4436:A4437"/>
    <mergeCell ref="A4446:A4452"/>
    <mergeCell ref="A4454:A4474"/>
    <mergeCell ref="E4363:E4364"/>
    <mergeCell ref="F4363:F4364"/>
    <mergeCell ref="A4476:A4477"/>
    <mergeCell ref="A4439:H4439"/>
    <mergeCell ref="A4440:H4440"/>
    <mergeCell ref="A4442:A4444"/>
    <mergeCell ref="B4442:B4444"/>
    <mergeCell ref="A4242:A4244"/>
    <mergeCell ref="B4242:B4244"/>
    <mergeCell ref="C4242:C4244"/>
    <mergeCell ref="D4242:D4244"/>
    <mergeCell ref="A4162:A4164"/>
    <mergeCell ref="B4162:B4164"/>
    <mergeCell ref="E4243:E4244"/>
    <mergeCell ref="F4243:F4244"/>
    <mergeCell ref="E4163:E4164"/>
    <mergeCell ref="E4283:E4284"/>
    <mergeCell ref="A4326:A4332"/>
    <mergeCell ref="A4322:A4324"/>
    <mergeCell ref="B4322:B4324"/>
    <mergeCell ref="A4254:A4274"/>
    <mergeCell ref="A4276:A4277"/>
    <mergeCell ref="A4239:H4239"/>
    <mergeCell ref="G4323:G4324"/>
    <mergeCell ref="A4240:H4240"/>
    <mergeCell ref="H4243:H4244"/>
    <mergeCell ref="H4323:H4324"/>
    <mergeCell ref="C4282:C4284"/>
    <mergeCell ref="C4322:C4324"/>
    <mergeCell ref="D4322:D4324"/>
    <mergeCell ref="E4323:E4324"/>
    <mergeCell ref="F4323:F4324"/>
    <mergeCell ref="G4283:G4284"/>
    <mergeCell ref="H4283:H4284"/>
    <mergeCell ref="D4282:D4284"/>
    <mergeCell ref="A4214:A4234"/>
    <mergeCell ref="A4199:H4199"/>
    <mergeCell ref="A4200:H4200"/>
    <mergeCell ref="A4202:A4204"/>
    <mergeCell ref="C4042:C4044"/>
    <mergeCell ref="D4042:D4044"/>
    <mergeCell ref="G4043:G4044"/>
    <mergeCell ref="C4082:C4084"/>
    <mergeCell ref="D4082:D4084"/>
    <mergeCell ref="E4083:E4084"/>
    <mergeCell ref="F4083:F4084"/>
    <mergeCell ref="G4083:G4084"/>
    <mergeCell ref="H4083:H4084"/>
    <mergeCell ref="A4116:A4117"/>
    <mergeCell ref="A4079:H4079"/>
    <mergeCell ref="A4080:H4080"/>
    <mergeCell ref="A4082:A4084"/>
    <mergeCell ref="B4082:B4084"/>
    <mergeCell ref="A4006:A4012"/>
    <mergeCell ref="A4046:A4052"/>
    <mergeCell ref="A4054:A4074"/>
    <mergeCell ref="A4039:H4039"/>
    <mergeCell ref="A4040:H4040"/>
    <mergeCell ref="A4086:A4092"/>
    <mergeCell ref="A4094:A4114"/>
    <mergeCell ref="A4076:A4077"/>
    <mergeCell ref="A4042:A4044"/>
    <mergeCell ref="B4042:B4044"/>
    <mergeCell ref="H4043:H4044"/>
    <mergeCell ref="F4043:F4044"/>
    <mergeCell ref="E4043:E4044"/>
    <mergeCell ref="A4014:A4034"/>
    <mergeCell ref="A4036:A4037"/>
    <mergeCell ref="A3759:H3759"/>
    <mergeCell ref="A3760:H3760"/>
    <mergeCell ref="A3676:A3677"/>
    <mergeCell ref="A3639:H3639"/>
    <mergeCell ref="A3640:H3640"/>
    <mergeCell ref="A3642:A3644"/>
    <mergeCell ref="B3642:B3644"/>
    <mergeCell ref="C3642:C3644"/>
    <mergeCell ref="D3642:D3644"/>
    <mergeCell ref="E3643:E3644"/>
    <mergeCell ref="F3643:F3644"/>
    <mergeCell ref="G3643:G3644"/>
    <mergeCell ref="A3756:A3757"/>
    <mergeCell ref="A3719:H3719"/>
    <mergeCell ref="A3720:H3720"/>
    <mergeCell ref="A3722:A3724"/>
    <mergeCell ref="B3722:B3724"/>
    <mergeCell ref="C3722:C3724"/>
    <mergeCell ref="D3722:D3724"/>
    <mergeCell ref="E3723:E3724"/>
    <mergeCell ref="H3723:H3724"/>
    <mergeCell ref="A3726:A3732"/>
    <mergeCell ref="F3683:F3684"/>
    <mergeCell ref="G3683:G3684"/>
    <mergeCell ref="H3683:H3684"/>
    <mergeCell ref="F3723:F3724"/>
    <mergeCell ref="G3723:G3724"/>
    <mergeCell ref="A3686:A3692"/>
    <mergeCell ref="A3694:A3714"/>
    <mergeCell ref="A3716:A3717"/>
    <mergeCell ref="A3679:H3679"/>
    <mergeCell ref="A3680:H3680"/>
    <mergeCell ref="A3682:A3684"/>
    <mergeCell ref="B3682:B3684"/>
    <mergeCell ref="H3563:H3564"/>
    <mergeCell ref="A3526:A3532"/>
    <mergeCell ref="A3534:A3554"/>
    <mergeCell ref="C3682:C3684"/>
    <mergeCell ref="D3682:D3684"/>
    <mergeCell ref="E3683:E3684"/>
    <mergeCell ref="G3603:G3604"/>
    <mergeCell ref="A3566:A3572"/>
    <mergeCell ref="A3559:H3559"/>
    <mergeCell ref="A3602:A3604"/>
    <mergeCell ref="B3602:B3604"/>
    <mergeCell ref="A3574:A3594"/>
    <mergeCell ref="A3596:A3597"/>
    <mergeCell ref="A3556:A3557"/>
    <mergeCell ref="A3560:H3560"/>
    <mergeCell ref="A3562:A3564"/>
    <mergeCell ref="B3562:B3564"/>
    <mergeCell ref="A3646:A3652"/>
    <mergeCell ref="A3654:A3674"/>
    <mergeCell ref="H3643:H3644"/>
    <mergeCell ref="A3636:A3637"/>
    <mergeCell ref="A3599:H3599"/>
    <mergeCell ref="A3600:H3600"/>
    <mergeCell ref="E3603:E3604"/>
    <mergeCell ref="F3603:F3604"/>
    <mergeCell ref="C3602:C3604"/>
    <mergeCell ref="D3602:D3604"/>
    <mergeCell ref="A3516:A3517"/>
    <mergeCell ref="G3483:G3484"/>
    <mergeCell ref="E3483:E3484"/>
    <mergeCell ref="A3519:H3519"/>
    <mergeCell ref="E3523:E3524"/>
    <mergeCell ref="F3523:F3524"/>
    <mergeCell ref="G3523:G3524"/>
    <mergeCell ref="H3523:H3524"/>
    <mergeCell ref="A3520:H3520"/>
    <mergeCell ref="A3522:A3524"/>
    <mergeCell ref="F3563:F3564"/>
    <mergeCell ref="G3563:G3564"/>
    <mergeCell ref="A3614:A3634"/>
    <mergeCell ref="H3603:H3604"/>
    <mergeCell ref="C3562:C3564"/>
    <mergeCell ref="D3562:D3564"/>
    <mergeCell ref="E3563:E3564"/>
    <mergeCell ref="D3522:D3524"/>
    <mergeCell ref="F3483:F3484"/>
    <mergeCell ref="A3486:A3492"/>
    <mergeCell ref="A3606:A3612"/>
    <mergeCell ref="H3483:H3484"/>
    <mergeCell ref="A3494:A3514"/>
    <mergeCell ref="B3522:B3524"/>
    <mergeCell ref="C3522:C3524"/>
    <mergeCell ref="A3482:A3484"/>
    <mergeCell ref="B3482:B3484"/>
    <mergeCell ref="C3482:C3484"/>
    <mergeCell ref="D3482:D3484"/>
    <mergeCell ref="A3350:A3351"/>
    <mergeCell ref="A3328:A3348"/>
    <mergeCell ref="A3320:A3326"/>
    <mergeCell ref="E3317:E3318"/>
    <mergeCell ref="F3317:F3318"/>
    <mergeCell ref="G3317:G3318"/>
    <mergeCell ref="A3316:A3318"/>
    <mergeCell ref="B3316:B3318"/>
    <mergeCell ref="C3316:C3318"/>
    <mergeCell ref="D3316:D3318"/>
    <mergeCell ref="A3400:H3400"/>
    <mergeCell ref="A3356:H3356"/>
    <mergeCell ref="A3357:H3357"/>
    <mergeCell ref="A3393:A3394"/>
    <mergeCell ref="C3359:C3361"/>
    <mergeCell ref="D3359:D3361"/>
    <mergeCell ref="A3371:A3391"/>
    <mergeCell ref="A3363:A3369"/>
    <mergeCell ref="E3360:E3361"/>
    <mergeCell ref="F3360:F3361"/>
    <mergeCell ref="G3360:G3361"/>
    <mergeCell ref="H3360:H3361"/>
    <mergeCell ref="A3359:A3361"/>
    <mergeCell ref="A3399:H3399"/>
    <mergeCell ref="B3359:B3361"/>
    <mergeCell ref="H3317:H3318"/>
    <mergeCell ref="A3314:H3314"/>
    <mergeCell ref="B3273:B3275"/>
    <mergeCell ref="C3273:C3275"/>
    <mergeCell ref="A3270:H3270"/>
    <mergeCell ref="H3188:H3189"/>
    <mergeCell ref="A3313:H3313"/>
    <mergeCell ref="F3231:F3232"/>
    <mergeCell ref="G3231:G3232"/>
    <mergeCell ref="A3271:H3271"/>
    <mergeCell ref="A3273:A3275"/>
    <mergeCell ref="A3184:H3184"/>
    <mergeCell ref="A3285:A3305"/>
    <mergeCell ref="A3307:A3308"/>
    <mergeCell ref="D3273:D3275"/>
    <mergeCell ref="E3274:E3275"/>
    <mergeCell ref="F3274:F3275"/>
    <mergeCell ref="G3274:G3275"/>
    <mergeCell ref="H3274:H3275"/>
    <mergeCell ref="A3277:A3283"/>
    <mergeCell ref="C3187:C3189"/>
    <mergeCell ref="D3187:D3189"/>
    <mergeCell ref="H3231:H3232"/>
    <mergeCell ref="C3230:C3232"/>
    <mergeCell ref="D3230:D3232"/>
    <mergeCell ref="E3188:E3189"/>
    <mergeCell ref="F3188:F3189"/>
    <mergeCell ref="A3185:H3185"/>
    <mergeCell ref="A3221:A3222"/>
    <mergeCell ref="A3199:A3219"/>
    <mergeCell ref="A3191:A3197"/>
    <mergeCell ref="G3188:G3189"/>
    <mergeCell ref="D2972:D2974"/>
    <mergeCell ref="E2973:E2974"/>
    <mergeCell ref="G2973:G2974"/>
    <mergeCell ref="H2973:H2974"/>
    <mergeCell ref="E2930:E2931"/>
    <mergeCell ref="F2930:F2931"/>
    <mergeCell ref="F2973:F2974"/>
    <mergeCell ref="A2941:A2961"/>
    <mergeCell ref="A2890:A2896"/>
    <mergeCell ref="A2898:A2918"/>
    <mergeCell ref="A2920:A2921"/>
    <mergeCell ref="A2963:A2964"/>
    <mergeCell ref="A2926:H2926"/>
    <mergeCell ref="A2927:H2927"/>
    <mergeCell ref="A2929:A2931"/>
    <mergeCell ref="H2930:H2931"/>
    <mergeCell ref="G2930:G2931"/>
    <mergeCell ref="A2754:H2754"/>
    <mergeCell ref="A2755:H2755"/>
    <mergeCell ref="A2757:A2759"/>
    <mergeCell ref="B2757:B2759"/>
    <mergeCell ref="C2757:C2759"/>
    <mergeCell ref="D2757:D2759"/>
    <mergeCell ref="E2758:E2759"/>
    <mergeCell ref="F2758:F2759"/>
    <mergeCell ref="G2758:G2759"/>
    <mergeCell ref="A2800:A2802"/>
    <mergeCell ref="B2800:B2802"/>
    <mergeCell ref="C2800:C2802"/>
    <mergeCell ref="A2834:A2835"/>
    <mergeCell ref="A2812:A2832"/>
    <mergeCell ref="A2804:A2810"/>
    <mergeCell ref="A2761:A2767"/>
    <mergeCell ref="A2769:A2789"/>
    <mergeCell ref="A2791:A2792"/>
    <mergeCell ref="A2798:H2798"/>
    <mergeCell ref="E2801:E2802"/>
    <mergeCell ref="A2797:H2797"/>
    <mergeCell ref="H2801:H2802"/>
    <mergeCell ref="F2801:F2802"/>
    <mergeCell ref="G2801:G2802"/>
    <mergeCell ref="H2758:H2759"/>
    <mergeCell ref="D2800:D2802"/>
    <mergeCell ref="A2619:A2620"/>
    <mergeCell ref="A2718:A2724"/>
    <mergeCell ref="A2726:A2746"/>
    <mergeCell ref="A2748:A2749"/>
    <mergeCell ref="A2711:H2711"/>
    <mergeCell ref="A2712:H2712"/>
    <mergeCell ref="A2714:A2716"/>
    <mergeCell ref="B2714:B2716"/>
    <mergeCell ref="D2671:D2673"/>
    <mergeCell ref="G2629:G2630"/>
    <mergeCell ref="F2672:F2673"/>
    <mergeCell ref="G2672:G2673"/>
    <mergeCell ref="A2675:A2681"/>
    <mergeCell ref="A2683:A2703"/>
    <mergeCell ref="H2672:H2673"/>
    <mergeCell ref="F2715:F2716"/>
    <mergeCell ref="G2715:G2716"/>
    <mergeCell ref="H2715:H2716"/>
    <mergeCell ref="A2597:A2617"/>
    <mergeCell ref="C2714:C2716"/>
    <mergeCell ref="D2714:D2716"/>
    <mergeCell ref="E2715:E2716"/>
    <mergeCell ref="A2705:A2706"/>
    <mergeCell ref="A2671:A2673"/>
    <mergeCell ref="A2662:A2663"/>
    <mergeCell ref="A2585:A2587"/>
    <mergeCell ref="B2585:B2587"/>
    <mergeCell ref="C2585:C2587"/>
    <mergeCell ref="A2490:A2491"/>
    <mergeCell ref="A2453:H2453"/>
    <mergeCell ref="A2454:H2454"/>
    <mergeCell ref="A2456:A2458"/>
    <mergeCell ref="B2456:B2458"/>
    <mergeCell ref="C2456:C2458"/>
    <mergeCell ref="D2456:D2458"/>
    <mergeCell ref="E2457:E2458"/>
    <mergeCell ref="F2457:F2458"/>
    <mergeCell ref="G2457:G2458"/>
    <mergeCell ref="A2539:H2539"/>
    <mergeCell ref="A2540:H2540"/>
    <mergeCell ref="A2542:A2544"/>
    <mergeCell ref="B2542:B2544"/>
    <mergeCell ref="F2543:F2544"/>
    <mergeCell ref="G2543:G2544"/>
    <mergeCell ref="C2542:C2544"/>
    <mergeCell ref="D2542:D2544"/>
    <mergeCell ref="E2543:E2544"/>
    <mergeCell ref="A2511:A2531"/>
    <mergeCell ref="A2503:A2509"/>
    <mergeCell ref="E2500:E2501"/>
    <mergeCell ref="A2497:H2497"/>
    <mergeCell ref="A2496:H2496"/>
    <mergeCell ref="H2500:H2501"/>
    <mergeCell ref="F2500:F2501"/>
    <mergeCell ref="A2499:A2501"/>
    <mergeCell ref="B2499:B2501"/>
    <mergeCell ref="A2374:A2380"/>
    <mergeCell ref="A2382:A2402"/>
    <mergeCell ref="A2404:A2405"/>
    <mergeCell ref="A2367:H2367"/>
    <mergeCell ref="A2368:H2368"/>
    <mergeCell ref="A2370:A2372"/>
    <mergeCell ref="B2370:B2372"/>
    <mergeCell ref="C2370:C2372"/>
    <mergeCell ref="D2370:D2372"/>
    <mergeCell ref="E2371:E2372"/>
    <mergeCell ref="F2371:F2372"/>
    <mergeCell ref="G2371:G2372"/>
    <mergeCell ref="H2371:H2372"/>
    <mergeCell ref="A2460:A2466"/>
    <mergeCell ref="A2468:A2488"/>
    <mergeCell ref="H2457:H2458"/>
    <mergeCell ref="F2414:F2415"/>
    <mergeCell ref="G2414:G2415"/>
    <mergeCell ref="H2414:H2415"/>
    <mergeCell ref="A2425:A2445"/>
    <mergeCell ref="A2447:A2448"/>
    <mergeCell ref="A2410:H2410"/>
    <mergeCell ref="A2411:H2411"/>
    <mergeCell ref="A2413:A2415"/>
    <mergeCell ref="B2413:B2415"/>
    <mergeCell ref="D2413:D2415"/>
    <mergeCell ref="E2414:E2415"/>
    <mergeCell ref="C2413:C2415"/>
    <mergeCell ref="A2417:A2423"/>
    <mergeCell ref="A2361:A2362"/>
    <mergeCell ref="A2339:A2359"/>
    <mergeCell ref="A2331:A2337"/>
    <mergeCell ref="E2328:E2329"/>
    <mergeCell ref="F2328:F2329"/>
    <mergeCell ref="G2328:G2329"/>
    <mergeCell ref="H2328:H2329"/>
    <mergeCell ref="A2327:A2329"/>
    <mergeCell ref="B2327:B2329"/>
    <mergeCell ref="C2327:C2329"/>
    <mergeCell ref="D2327:D2329"/>
    <mergeCell ref="A2325:H2325"/>
    <mergeCell ref="A2324:H2324"/>
    <mergeCell ref="C2284:C2286"/>
    <mergeCell ref="D2284:D2286"/>
    <mergeCell ref="E2285:E2286"/>
    <mergeCell ref="F2285:F2286"/>
    <mergeCell ref="G2285:G2286"/>
    <mergeCell ref="H2285:H2286"/>
    <mergeCell ref="A2288:A2294"/>
    <mergeCell ref="A2296:A2316"/>
    <mergeCell ref="A2318:A2319"/>
    <mergeCell ref="A2110:H2110"/>
    <mergeCell ref="A2112:A2114"/>
    <mergeCell ref="B2112:B2114"/>
    <mergeCell ref="C2112:C2114"/>
    <mergeCell ref="D2112:D2114"/>
    <mergeCell ref="E2113:E2114"/>
    <mergeCell ref="F2113:F2114"/>
    <mergeCell ref="G2113:G2114"/>
    <mergeCell ref="H2113:H2114"/>
    <mergeCell ref="A2245:A2251"/>
    <mergeCell ref="F2199:F2200"/>
    <mergeCell ref="G2199:G2200"/>
    <mergeCell ref="H2199:H2200"/>
    <mergeCell ref="A2152:H2152"/>
    <mergeCell ref="A2153:H2153"/>
    <mergeCell ref="B2241:B2243"/>
    <mergeCell ref="C2241:C2243"/>
    <mergeCell ref="D2241:D2243"/>
    <mergeCell ref="E2242:E2243"/>
    <mergeCell ref="F2242:F2243"/>
    <mergeCell ref="G2242:G2243"/>
    <mergeCell ref="H2242:H2243"/>
    <mergeCell ref="A2159:A2165"/>
    <mergeCell ref="A2167:A2187"/>
    <mergeCell ref="A2189:A2190"/>
    <mergeCell ref="A2155:A2157"/>
    <mergeCell ref="B2155:B2157"/>
    <mergeCell ref="A2073:A2079"/>
    <mergeCell ref="A2081:A2101"/>
    <mergeCell ref="A2103:A2104"/>
    <mergeCell ref="A2066:H2066"/>
    <mergeCell ref="A2067:H2067"/>
    <mergeCell ref="A2069:A2071"/>
    <mergeCell ref="B2069:B2071"/>
    <mergeCell ref="A1944:A1950"/>
    <mergeCell ref="A1952:A1972"/>
    <mergeCell ref="A1974:A1975"/>
    <mergeCell ref="A1937:H1937"/>
    <mergeCell ref="A1938:H1938"/>
    <mergeCell ref="A1940:A1942"/>
    <mergeCell ref="B1940:B1942"/>
    <mergeCell ref="A2023:H2023"/>
    <mergeCell ref="A2024:H2024"/>
    <mergeCell ref="A2026:A2028"/>
    <mergeCell ref="B2026:B2028"/>
    <mergeCell ref="C2026:C2028"/>
    <mergeCell ref="D2026:D2028"/>
    <mergeCell ref="E2027:E2028"/>
    <mergeCell ref="F2027:F2028"/>
    <mergeCell ref="G2027:G2028"/>
    <mergeCell ref="H2027:H2028"/>
    <mergeCell ref="C2069:C2071"/>
    <mergeCell ref="D2069:D2071"/>
    <mergeCell ref="E2070:E2071"/>
    <mergeCell ref="A2017:A2018"/>
    <mergeCell ref="A1980:H1980"/>
    <mergeCell ref="A1981:H1981"/>
    <mergeCell ref="A1983:A1985"/>
    <mergeCell ref="B1983:B1985"/>
    <mergeCell ref="A1636:H1636"/>
    <mergeCell ref="A1638:A1640"/>
    <mergeCell ref="B1638:B1640"/>
    <mergeCell ref="C1638:C1640"/>
    <mergeCell ref="D1638:D1640"/>
    <mergeCell ref="E1639:E1640"/>
    <mergeCell ref="F1639:F1640"/>
    <mergeCell ref="G1639:G1640"/>
    <mergeCell ref="H1639:H1640"/>
    <mergeCell ref="A1642:A1648"/>
    <mergeCell ref="A1650:A1670"/>
    <mergeCell ref="A1672:A1673"/>
    <mergeCell ref="B1768:B1770"/>
    <mergeCell ref="C1768:C1770"/>
    <mergeCell ref="D1768:D1770"/>
    <mergeCell ref="A1678:H1678"/>
    <mergeCell ref="A1679:H1679"/>
    <mergeCell ref="A1681:A1683"/>
    <mergeCell ref="B1681:B1683"/>
    <mergeCell ref="C1681:C1683"/>
    <mergeCell ref="D1681:D1683"/>
    <mergeCell ref="E1682:E1683"/>
    <mergeCell ref="F1682:F1683"/>
    <mergeCell ref="A1629:A1630"/>
    <mergeCell ref="G1769:G1770"/>
    <mergeCell ref="H1769:H1770"/>
    <mergeCell ref="A1858:A1864"/>
    <mergeCell ref="A1866:A1886"/>
    <mergeCell ref="G1682:G1683"/>
    <mergeCell ref="H1682:H1683"/>
    <mergeCell ref="A1685:A1691"/>
    <mergeCell ref="A1693:A1713"/>
    <mergeCell ref="A1715:A1716"/>
    <mergeCell ref="A1721:H1721"/>
    <mergeCell ref="A1845:A1846"/>
    <mergeCell ref="A1823:A1843"/>
    <mergeCell ref="A1815:A1821"/>
    <mergeCell ref="E1812:E1813"/>
    <mergeCell ref="F1812:F1813"/>
    <mergeCell ref="G1812:G1813"/>
    <mergeCell ref="H1812:H1813"/>
    <mergeCell ref="A1811:A1813"/>
    <mergeCell ref="B1811:B1813"/>
    <mergeCell ref="H1725:H1726"/>
    <mergeCell ref="A1724:A1726"/>
    <mergeCell ref="B1724:B1726"/>
    <mergeCell ref="C1724:C1726"/>
    <mergeCell ref="D1724:D1726"/>
    <mergeCell ref="A1722:H1722"/>
    <mergeCell ref="A1758:A1759"/>
    <mergeCell ref="A1736:A1756"/>
    <mergeCell ref="A1728:A1734"/>
    <mergeCell ref="E1769:E1770"/>
    <mergeCell ref="F1769:F1770"/>
    <mergeCell ref="A1635:H1635"/>
    <mergeCell ref="A1392:A1412"/>
    <mergeCell ref="A1414:A1415"/>
    <mergeCell ref="H1381:H1382"/>
    <mergeCell ref="A1427:A1433"/>
    <mergeCell ref="A1435:A1455"/>
    <mergeCell ref="A1457:A1458"/>
    <mergeCell ref="G1596:G1597"/>
    <mergeCell ref="H1596:H1597"/>
    <mergeCell ref="A1599:A1605"/>
    <mergeCell ref="A1607:A1627"/>
    <mergeCell ref="A1549:H1549"/>
    <mergeCell ref="A1550:H1550"/>
    <mergeCell ref="A1552:A1554"/>
    <mergeCell ref="B1552:B1554"/>
    <mergeCell ref="C1552:C1554"/>
    <mergeCell ref="D1552:D1554"/>
    <mergeCell ref="E1553:E1554"/>
    <mergeCell ref="F1553:F1554"/>
    <mergeCell ref="G1553:G1554"/>
    <mergeCell ref="H1553:H1554"/>
    <mergeCell ref="A1556:A1562"/>
    <mergeCell ref="A1564:A1584"/>
    <mergeCell ref="A1586:A1587"/>
    <mergeCell ref="A1592:H1592"/>
    <mergeCell ref="A1593:H1593"/>
    <mergeCell ref="A1506:H1506"/>
    <mergeCell ref="A1507:H1507"/>
    <mergeCell ref="A1509:A1511"/>
    <mergeCell ref="B1509:B1511"/>
    <mergeCell ref="C1509:C1511"/>
    <mergeCell ref="D1509:D1511"/>
    <mergeCell ref="A1595:A1597"/>
    <mergeCell ref="B1337:B1339"/>
    <mergeCell ref="C1337:C1339"/>
    <mergeCell ref="D1337:D1339"/>
    <mergeCell ref="E1338:E1339"/>
    <mergeCell ref="F1338:F1339"/>
    <mergeCell ref="G1338:G1339"/>
    <mergeCell ref="H1338:H1339"/>
    <mergeCell ref="A1291:H1291"/>
    <mergeCell ref="A1292:H1292"/>
    <mergeCell ref="A1294:A1296"/>
    <mergeCell ref="B1294:B1296"/>
    <mergeCell ref="C1294:C1296"/>
    <mergeCell ref="A1420:H1420"/>
    <mergeCell ref="A1421:H1421"/>
    <mergeCell ref="A1423:A1425"/>
    <mergeCell ref="B1423:B1425"/>
    <mergeCell ref="C1423:C1425"/>
    <mergeCell ref="D1423:D1425"/>
    <mergeCell ref="E1424:E1425"/>
    <mergeCell ref="F1424:F1425"/>
    <mergeCell ref="G1424:G1425"/>
    <mergeCell ref="H1424:H1425"/>
    <mergeCell ref="A1377:H1377"/>
    <mergeCell ref="A1378:H1378"/>
    <mergeCell ref="A1380:A1382"/>
    <mergeCell ref="B1380:B1382"/>
    <mergeCell ref="C1380:C1382"/>
    <mergeCell ref="D1380:D1382"/>
    <mergeCell ref="E1381:E1382"/>
    <mergeCell ref="F1381:F1382"/>
    <mergeCell ref="G1381:G1382"/>
    <mergeCell ref="A1384:A1390"/>
    <mergeCell ref="A1371:A1372"/>
    <mergeCell ref="A1205:H1205"/>
    <mergeCell ref="A1206:H1206"/>
    <mergeCell ref="A1208:A1210"/>
    <mergeCell ref="A1033:H1033"/>
    <mergeCell ref="A1034:H1034"/>
    <mergeCell ref="A1036:A1038"/>
    <mergeCell ref="B1036:B1038"/>
    <mergeCell ref="C1036:C1038"/>
    <mergeCell ref="D1036:D1038"/>
    <mergeCell ref="E1037:E1038"/>
    <mergeCell ref="F1037:F1038"/>
    <mergeCell ref="G1037:G1038"/>
    <mergeCell ref="H1037:H1038"/>
    <mergeCell ref="A1040:A1046"/>
    <mergeCell ref="A1048:A1068"/>
    <mergeCell ref="A1070:A1071"/>
    <mergeCell ref="A1298:A1304"/>
    <mergeCell ref="A1306:A1326"/>
    <mergeCell ref="A1328:A1329"/>
    <mergeCell ref="B1208:B1210"/>
    <mergeCell ref="C1208:C1210"/>
    <mergeCell ref="D1208:D1210"/>
    <mergeCell ref="E1209:E1210"/>
    <mergeCell ref="F1209:F1210"/>
    <mergeCell ref="G1209:G1210"/>
    <mergeCell ref="H1209:H1210"/>
    <mergeCell ref="A1212:A1218"/>
    <mergeCell ref="A1220:A1240"/>
    <mergeCell ref="A1242:A1243"/>
    <mergeCell ref="A1334:H1334"/>
    <mergeCell ref="E1295:E1296"/>
    <mergeCell ref="A1341:A1347"/>
    <mergeCell ref="A1335:H1335"/>
    <mergeCell ref="A1119:H1119"/>
    <mergeCell ref="A1120:H1120"/>
    <mergeCell ref="A1122:A1124"/>
    <mergeCell ref="B1122:B1124"/>
    <mergeCell ref="C1122:C1124"/>
    <mergeCell ref="D1122:D1124"/>
    <mergeCell ref="E1123:E1124"/>
    <mergeCell ref="F1123:F1124"/>
    <mergeCell ref="G1123:G1124"/>
    <mergeCell ref="H1123:H1124"/>
    <mergeCell ref="A1126:A1132"/>
    <mergeCell ref="A1134:A1154"/>
    <mergeCell ref="A1156:A1157"/>
    <mergeCell ref="D1294:D1296"/>
    <mergeCell ref="A1349:A1369"/>
    <mergeCell ref="F1295:F1296"/>
    <mergeCell ref="G1295:G1296"/>
    <mergeCell ref="H1295:H1296"/>
    <mergeCell ref="A1248:H1248"/>
    <mergeCell ref="A1249:H1249"/>
    <mergeCell ref="A1251:A1253"/>
    <mergeCell ref="B1251:B1253"/>
    <mergeCell ref="C1251:C1253"/>
    <mergeCell ref="D1251:D1253"/>
    <mergeCell ref="E1252:E1253"/>
    <mergeCell ref="F1252:F1253"/>
    <mergeCell ref="A1285:A1286"/>
    <mergeCell ref="A1255:A1261"/>
    <mergeCell ref="A1263:A1283"/>
    <mergeCell ref="A1337:A1339"/>
    <mergeCell ref="C778:C780"/>
    <mergeCell ref="D778:D780"/>
    <mergeCell ref="E779:E780"/>
    <mergeCell ref="F779:F780"/>
    <mergeCell ref="G779:G780"/>
    <mergeCell ref="H779:H780"/>
    <mergeCell ref="A610:A616"/>
    <mergeCell ref="A618:A638"/>
    <mergeCell ref="A640:A641"/>
    <mergeCell ref="A646:H646"/>
    <mergeCell ref="A647:H647"/>
    <mergeCell ref="A649:A651"/>
    <mergeCell ref="B649:B651"/>
    <mergeCell ref="C649:C651"/>
    <mergeCell ref="D649:D651"/>
    <mergeCell ref="E650:E651"/>
    <mergeCell ref="F650:F651"/>
    <mergeCell ref="G650:G651"/>
    <mergeCell ref="H650:H651"/>
    <mergeCell ref="A653:A659"/>
    <mergeCell ref="A661:A681"/>
    <mergeCell ref="A683:A684"/>
    <mergeCell ref="A689:H689"/>
    <mergeCell ref="A690:H690"/>
    <mergeCell ref="A733:H733"/>
    <mergeCell ref="A776:H776"/>
    <mergeCell ref="A778:A780"/>
    <mergeCell ref="B778:B780"/>
    <mergeCell ref="F736:F737"/>
    <mergeCell ref="G736:G737"/>
    <mergeCell ref="H736:H737"/>
    <mergeCell ref="A696:A702"/>
    <mergeCell ref="A475:H475"/>
    <mergeCell ref="A477:A479"/>
    <mergeCell ref="B477:B479"/>
    <mergeCell ref="C477:C479"/>
    <mergeCell ref="D477:D479"/>
    <mergeCell ref="E478:E479"/>
    <mergeCell ref="F478:F479"/>
    <mergeCell ref="G478:G479"/>
    <mergeCell ref="H478:H479"/>
    <mergeCell ref="A481:A487"/>
    <mergeCell ref="A489:A509"/>
    <mergeCell ref="A511:A512"/>
    <mergeCell ref="H564:H565"/>
    <mergeCell ref="A567:A573"/>
    <mergeCell ref="A575:A595"/>
    <mergeCell ref="A597:A598"/>
    <mergeCell ref="A517:H517"/>
    <mergeCell ref="A518:H518"/>
    <mergeCell ref="A520:A522"/>
    <mergeCell ref="B520:B522"/>
    <mergeCell ref="C520:C522"/>
    <mergeCell ref="D520:D522"/>
    <mergeCell ref="E521:E522"/>
    <mergeCell ref="F521:F522"/>
    <mergeCell ref="G521:G522"/>
    <mergeCell ref="H521:H522"/>
    <mergeCell ref="A524:A530"/>
    <mergeCell ref="A532:A552"/>
    <mergeCell ref="A554:A555"/>
    <mergeCell ref="G564:G565"/>
    <mergeCell ref="A438:A444"/>
    <mergeCell ref="A446:A466"/>
    <mergeCell ref="D434:D436"/>
    <mergeCell ref="A468:A469"/>
    <mergeCell ref="A474:H474"/>
    <mergeCell ref="A302:H302"/>
    <mergeCell ref="A303:H303"/>
    <mergeCell ref="A305:A307"/>
    <mergeCell ref="B305:B307"/>
    <mergeCell ref="C305:C307"/>
    <mergeCell ref="D305:D307"/>
    <mergeCell ref="E306:E307"/>
    <mergeCell ref="F306:F307"/>
    <mergeCell ref="G306:G307"/>
    <mergeCell ref="H306:H307"/>
    <mergeCell ref="A309:A315"/>
    <mergeCell ref="A317:A337"/>
    <mergeCell ref="A339:A340"/>
    <mergeCell ref="A388:H388"/>
    <mergeCell ref="A389:H389"/>
    <mergeCell ref="A391:A393"/>
    <mergeCell ref="B391:B393"/>
    <mergeCell ref="C391:C393"/>
    <mergeCell ref="D391:D393"/>
    <mergeCell ref="E392:E393"/>
    <mergeCell ref="F392:F393"/>
    <mergeCell ref="G392:G393"/>
    <mergeCell ref="H392:H393"/>
    <mergeCell ref="A345:H345"/>
    <mergeCell ref="A346:H346"/>
    <mergeCell ref="A348:A350"/>
    <mergeCell ref="B348:B350"/>
    <mergeCell ref="A180:A186"/>
    <mergeCell ref="A188:A208"/>
    <mergeCell ref="A210:A211"/>
    <mergeCell ref="A259:H259"/>
    <mergeCell ref="A260:H260"/>
    <mergeCell ref="A262:A264"/>
    <mergeCell ref="B262:B264"/>
    <mergeCell ref="C262:C264"/>
    <mergeCell ref="D262:D264"/>
    <mergeCell ref="E263:E264"/>
    <mergeCell ref="F263:F264"/>
    <mergeCell ref="G263:G264"/>
    <mergeCell ref="H263:H264"/>
    <mergeCell ref="A266:A272"/>
    <mergeCell ref="A274:A294"/>
    <mergeCell ref="A296:A297"/>
    <mergeCell ref="E435:E436"/>
    <mergeCell ref="F435:F436"/>
    <mergeCell ref="G435:G436"/>
    <mergeCell ref="H435:H436"/>
    <mergeCell ref="D348:D350"/>
    <mergeCell ref="E349:E350"/>
    <mergeCell ref="F349:F350"/>
    <mergeCell ref="G349:G350"/>
    <mergeCell ref="H349:H350"/>
    <mergeCell ref="A352:A358"/>
    <mergeCell ref="A360:A380"/>
    <mergeCell ref="A382:A383"/>
    <mergeCell ref="C348:C350"/>
    <mergeCell ref="B434:B436"/>
    <mergeCell ref="C434:C436"/>
    <mergeCell ref="A216:H216"/>
    <mergeCell ref="A44:H44"/>
    <mergeCell ref="A45:H45"/>
    <mergeCell ref="A47:A49"/>
    <mergeCell ref="B47:B49"/>
    <mergeCell ref="C47:C49"/>
    <mergeCell ref="D47:D49"/>
    <mergeCell ref="E48:E49"/>
    <mergeCell ref="F48:F49"/>
    <mergeCell ref="G48:G49"/>
    <mergeCell ref="H48:H49"/>
    <mergeCell ref="A51:A57"/>
    <mergeCell ref="A59:A79"/>
    <mergeCell ref="A81:A82"/>
    <mergeCell ref="A173:H173"/>
    <mergeCell ref="A174:H174"/>
    <mergeCell ref="A176:A178"/>
    <mergeCell ref="B176:B178"/>
    <mergeCell ref="C176:C178"/>
    <mergeCell ref="D176:D178"/>
    <mergeCell ref="E177:E178"/>
    <mergeCell ref="F177:F178"/>
    <mergeCell ref="G177:G178"/>
    <mergeCell ref="H177:H178"/>
  </mergeCells>
  <phoneticPr fontId="3"/>
  <pageMargins left="1.0629921259842521" right="0.78740157480314965" top="0.27559055118110237" bottom="0.19685039370078741" header="0.43307086614173229" footer="0.23622047244094491"/>
  <pageSetup paperSize="9" scale="57" fitToHeight="0" orientation="landscape" useFirstPageNumber="1" r:id="rId1"/>
  <headerFooter alignWithMargins="0"/>
  <rowBreaks count="122" manualBreakCount="122">
    <brk id="43" max="16383" man="1"/>
    <brk id="86" max="16383" man="1"/>
    <brk id="129" max="16383" man="1"/>
    <brk id="172" max="16383" man="1"/>
    <brk id="215" max="16383" man="1"/>
    <brk id="258" max="16383" man="1"/>
    <brk id="301" max="16383" man="1"/>
    <brk id="344" max="16383" man="1"/>
    <brk id="387" max="16383" man="1"/>
    <brk id="430" max="16383" man="1"/>
    <brk id="473" max="16383" man="1"/>
    <brk id="516" max="16383" man="1"/>
    <brk id="559" max="16383" man="1"/>
    <brk id="602" max="16383" man="1"/>
    <brk id="645" max="16383" man="1"/>
    <brk id="688" max="16383" man="1"/>
    <brk id="731" max="16383" man="1"/>
    <brk id="774" max="16383" man="1"/>
    <brk id="817" max="16383" man="1"/>
    <brk id="860" max="16383" man="1"/>
    <brk id="903" max="16383" man="1"/>
    <brk id="946" max="16383" man="1"/>
    <brk id="989" max="16383" man="1"/>
    <brk id="1032" max="16383" man="1"/>
    <brk id="1075" max="16383" man="1"/>
    <brk id="1118" max="16383" man="1"/>
    <brk id="1161" max="16383" man="1"/>
    <brk id="1204" max="16383" man="1"/>
    <brk id="1247" max="16383" man="1"/>
    <brk id="1290" max="16383" man="1"/>
    <brk id="1333" max="16383" man="1"/>
    <brk id="1376" max="16383" man="1"/>
    <brk id="1419" max="16383" man="1"/>
    <brk id="1462" max="16383" man="1"/>
    <brk id="1505" max="16383" man="1"/>
    <brk id="1548" max="16383" man="1"/>
    <brk id="1591" max="16383" man="1"/>
    <brk id="1634" max="16383" man="1"/>
    <brk id="1677" max="16383" man="1"/>
    <brk id="1720" max="16383" man="1"/>
    <brk id="1764" max="16383" man="1"/>
    <brk id="1807" max="16383" man="1"/>
    <brk id="1850" max="16383" man="1"/>
    <brk id="1893" max="16383" man="1"/>
    <brk id="1936" max="16383" man="1"/>
    <brk id="1979" max="16383" man="1"/>
    <brk id="2022" max="16383" man="1"/>
    <brk id="2065" max="16383" man="1"/>
    <brk id="2108" max="16383" man="1"/>
    <brk id="2151" max="16383" man="1"/>
    <brk id="2194" max="16383" man="1"/>
    <brk id="2237" max="16383" man="1"/>
    <brk id="2280" max="16383" man="1"/>
    <brk id="2323" max="16383" man="1"/>
    <brk id="2366" max="16383" man="1"/>
    <brk id="2409" max="7" man="1"/>
    <brk id="2452" max="7" man="1"/>
    <brk id="2495" max="7" man="1"/>
    <brk id="2538" max="7" man="1"/>
    <brk id="2581" max="7" man="1"/>
    <brk id="2624" max="7" man="1"/>
    <brk id="2667" max="7" man="1"/>
    <brk id="2710" max="7" man="1"/>
    <brk id="2753" max="7" man="1"/>
    <brk id="2796" max="7" man="1"/>
    <brk id="2839" max="7" man="1"/>
    <brk id="2882" max="7" man="1"/>
    <brk id="2925" max="7" man="1"/>
    <brk id="2968" max="7" man="1"/>
    <brk id="3011" max="7" man="1"/>
    <brk id="3054" max="7" man="1"/>
    <brk id="3097" max="7" man="1"/>
    <brk id="3140" max="7" man="1"/>
    <brk id="3183" max="7" man="1"/>
    <brk id="3226" max="7" man="1"/>
    <brk id="3269" max="7" man="1"/>
    <brk id="3312" max="7" man="1"/>
    <brk id="3355" max="7" man="1"/>
    <brk id="3398" max="7" man="1"/>
    <brk id="3438" max="7" man="1"/>
    <brk id="3478" max="7" man="1"/>
    <brk id="3518" max="7" man="1"/>
    <brk id="3558" max="7" man="1"/>
    <brk id="3598" max="7" man="1"/>
    <brk id="3638" max="7" man="1"/>
    <brk id="3678" max="7" man="1"/>
    <brk id="3718" max="7" man="1"/>
    <brk id="3758" max="7" man="1"/>
    <brk id="3798" max="7" man="1"/>
    <brk id="3838" max="7" man="1"/>
    <brk id="3878" max="7" man="1"/>
    <brk id="3918" max="7" man="1"/>
    <brk id="3958" max="7" man="1"/>
    <brk id="3998" max="7" man="1"/>
    <brk id="4038" max="7" man="1"/>
    <brk id="4078" max="7" man="1"/>
    <brk id="4118" max="7" man="1"/>
    <brk id="4158" max="7" man="1"/>
    <brk id="4198" max="7" man="1"/>
    <brk id="4238" max="7" man="1"/>
    <brk id="4278" max="7" man="1"/>
    <brk id="4318" max="7" man="1"/>
    <brk id="4358" max="7" man="1"/>
    <brk id="4398" max="7" man="1"/>
    <brk id="4438" max="7" man="1"/>
    <brk id="4478" max="7" man="1"/>
    <brk id="4518" max="7" man="1"/>
    <brk id="4558" max="7" man="1"/>
    <brk id="4598" max="7" man="1"/>
    <brk id="4638" max="7" man="1"/>
    <brk id="4678" max="7" man="1"/>
    <brk id="4718" max="7" man="1"/>
    <brk id="4758" max="7" man="1"/>
    <brk id="4798" max="7" man="1"/>
    <brk id="4838" max="7" man="1"/>
    <brk id="4878" max="7" man="1"/>
    <brk id="4918" max="7" man="1"/>
    <brk id="4958" max="7" man="1"/>
    <brk id="4998" max="7" man="1"/>
    <brk id="5038" max="7" man="1"/>
    <brk id="5078" max="7" man="1"/>
    <brk id="511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業態別口座残高</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2016-11-02T04:27:07Z</dcterms:created>
  <dcterms:modified xsi:type="dcterms:W3CDTF">2024-04-16T06:41:46Z</dcterms:modified>
</cp:coreProperties>
</file>